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35" windowWidth="20115" windowHeight="6435" tabRatio="757" activeTab="0"/>
  </bookViews>
  <sheets>
    <sheet name="DESONERADA18X10F " sheetId="1" r:id="rId1"/>
    <sheet name="DESONERADA18X10F RESUMIDA" sheetId="2" r:id="rId2"/>
    <sheet name="NAO DESONERADA18X10F " sheetId="3" r:id="rId3"/>
    <sheet name="Cronograma " sheetId="4" r:id="rId4"/>
  </sheets>
  <externalReferences>
    <externalReference r:id="rId7"/>
  </externalReferences>
  <definedNames>
    <definedName name="EXTRACT" localSheetId="3">'Cronograma '!#REF!</definedName>
    <definedName name="_xlnm.Print_Area" localSheetId="3">'Cronograma '!$A$1:$K$26</definedName>
    <definedName name="_xlnm.Print_Area" localSheetId="0">'DESONERADA18X10F '!$A$1:$I$558</definedName>
    <definedName name="_xlnm.Print_Area" localSheetId="1">'DESONERADA18X10F RESUMIDA'!$A$1:$I$94</definedName>
    <definedName name="_xlnm.Print_Area" localSheetId="2">'NAO DESONERADA18X10F '!$A$1:$I$558</definedName>
    <definedName name="BDI" localSheetId="3">#REF!</definedName>
    <definedName name="BDI" localSheetId="0">#REF!</definedName>
    <definedName name="BDI" localSheetId="1">#REF!</definedName>
    <definedName name="BDI" localSheetId="2">#REF!</definedName>
    <definedName name="BDI">#REF!</definedName>
    <definedName name="CRITERIA" localSheetId="3">'Cronograma '!#REF!</definedName>
    <definedName name="_xlnm.Print_Titles" localSheetId="3">'Cronograma '!$10:$12</definedName>
    <definedName name="_xlnm.Print_Titles" localSheetId="0">'DESONERADA18X10F '!$9:$11</definedName>
    <definedName name="_xlnm.Print_Titles" localSheetId="1">'DESONERADA18X10F RESUMIDA'!$9:$11</definedName>
    <definedName name="_xlnm.Print_Titles" localSheetId="2">'NAO DESONERADA18X10F '!$9:$11</definedName>
  </definedNames>
  <calcPr fullCalcOnLoad="1"/>
</workbook>
</file>

<file path=xl/sharedStrings.xml><?xml version="1.0" encoding="utf-8"?>
<sst xmlns="http://schemas.openxmlformats.org/spreadsheetml/2006/main" count="3517" uniqueCount="931">
  <si>
    <t>M2</t>
  </si>
  <si>
    <t>M3</t>
  </si>
  <si>
    <t>00368</t>
  </si>
  <si>
    <t>M</t>
  </si>
  <si>
    <t>00453</t>
  </si>
  <si>
    <t>KG</t>
  </si>
  <si>
    <t>H</t>
  </si>
  <si>
    <t>TOTAL</t>
  </si>
  <si>
    <t>1.1</t>
  </si>
  <si>
    <t>1.2</t>
  </si>
  <si>
    <t>1.3</t>
  </si>
  <si>
    <t>1.4</t>
  </si>
  <si>
    <t>UN</t>
  </si>
  <si>
    <t>4.1</t>
  </si>
  <si>
    <t>4.2</t>
  </si>
  <si>
    <t>4.3</t>
  </si>
  <si>
    <t>PAR</t>
  </si>
  <si>
    <t>05332</t>
  </si>
  <si>
    <t>1.0</t>
  </si>
  <si>
    <t>SERVIÇOS PRELIMINARES</t>
  </si>
  <si>
    <t>2.0</t>
  </si>
  <si>
    <t>3.0</t>
  </si>
  <si>
    <t>4.0</t>
  </si>
  <si>
    <t>5.0</t>
  </si>
  <si>
    <t>6.0</t>
  </si>
  <si>
    <t>PINTURA</t>
  </si>
  <si>
    <t xml:space="preserve">Estado do Rio de Janeiro                                                        </t>
  </si>
  <si>
    <t>Prefeitura Municipal de Barra Mansa</t>
  </si>
  <si>
    <t xml:space="preserve">Secretaria Municipal de Planejamento Urbano </t>
  </si>
  <si>
    <t xml:space="preserve">MEMÓRIA DE CÁLCULO </t>
  </si>
  <si>
    <t>ITEM</t>
  </si>
  <si>
    <t>DISCRIMINAÇÃO</t>
  </si>
  <si>
    <t>QUANT.</t>
  </si>
  <si>
    <t>PREÇOS (R$)</t>
  </si>
  <si>
    <t xml:space="preserve">CRONOGRAMA  FÍSICO-FINANCEIRO </t>
  </si>
  <si>
    <t>DESCRIÇÃO</t>
  </si>
  <si>
    <t>PERÍODO</t>
  </si>
  <si>
    <t>30 DIAS</t>
  </si>
  <si>
    <t>60 DIAS</t>
  </si>
  <si>
    <t>TOTAL DOS</t>
  </si>
  <si>
    <t>FÍSICO</t>
  </si>
  <si>
    <t>FINANCEIRO</t>
  </si>
  <si>
    <t>SERVIÇOS</t>
  </si>
  <si>
    <t>TRANSPORTE E BOTA-FORA</t>
  </si>
  <si>
    <t>TOTAL DA OBRA POR MEDIÇÃO</t>
  </si>
  <si>
    <t>TOTAL ACUMULADO DA OBRA</t>
  </si>
  <si>
    <t>Desembolso parcial por medição %</t>
  </si>
  <si>
    <t>Desembolso máximo acumulado %</t>
  </si>
  <si>
    <t>T</t>
  </si>
  <si>
    <t>GL</t>
  </si>
  <si>
    <t>00124</t>
  </si>
  <si>
    <t>ESTRUTURA DE CONCRETO ARMADO</t>
  </si>
  <si>
    <t>CHP</t>
  </si>
  <si>
    <t>x</t>
  </si>
  <si>
    <t>2.1</t>
  </si>
  <si>
    <t>3.1</t>
  </si>
  <si>
    <t>TOTAL 3.0</t>
  </si>
  <si>
    <t>TOTAL 1.0</t>
  </si>
  <si>
    <t>TOTAL 4.0</t>
  </si>
  <si>
    <t>07425</t>
  </si>
  <si>
    <t>00840</t>
  </si>
  <si>
    <t>05331</t>
  </si>
  <si>
    <t>TOTAL 7.0</t>
  </si>
  <si>
    <t>TXKM</t>
  </si>
  <si>
    <t>TOTAL GERAL=</t>
  </si>
  <si>
    <t>APROVAÇÃO: Eng. Eros dos Santos</t>
  </si>
  <si>
    <t>CÓDIGO</t>
  </si>
  <si>
    <t>Alambrado / esquadrias</t>
  </si>
  <si>
    <t>Pintura</t>
  </si>
  <si>
    <t>Mobiliário</t>
  </si>
  <si>
    <t>Transporte e bota-fora</t>
  </si>
  <si>
    <t>PREGO COM OU SEM CABECA, EM CAIXAS DE 50KG, OU QUANTIDADES EQUIVALENTES, N§12X12A 18X30</t>
  </si>
  <si>
    <t>20132</t>
  </si>
  <si>
    <t>MAO-DE-OBRA DE SERVENTE DA CONSTRUCAO CIVIL, INCLUSIVE ENCARGOS SOCIAIS DESONERADOS</t>
  </si>
  <si>
    <t>20045</t>
  </si>
  <si>
    <t>MAO-DE-OBRA DE CARPINTEIRO DE ESQUADRIASDE MADEIRA, INCLUSIVE ENCARGOS SOCIAISDESONERADOS</t>
  </si>
  <si>
    <t>CORDAO PARALELO COM ISOLAMENTO TERMOPLASTICO, ATE 750V, DE 2X2,5MM2</t>
  </si>
  <si>
    <t>DISJUNTOR MONOFASICO DE 250V, DE 010 A 030A</t>
  </si>
  <si>
    <t>PARAFUSO C/ROSCA, DE (8x100)MM</t>
  </si>
  <si>
    <t>VIDRO PLANO TRANSPARENTE, COMUM, COM ESPESSURA DE 3MM</t>
  </si>
  <si>
    <t>INTERRUPTOR DE SOBREPOR SIMPLES, DE 10A-250V</t>
  </si>
  <si>
    <t>20060</t>
  </si>
  <si>
    <t>MAO-DE-OBRA DE ELETRICISTA DA CONSTRUCAOCIVIL, INCLUSIVE ENCARGOS SOCIAIS DESONERADOS</t>
  </si>
  <si>
    <t>20115</t>
  </si>
  <si>
    <t>MAO-DE-OBRA DE PEDREIRO, INCLUSIVE ENCARGOS SOCIAIS DESONERADOS</t>
  </si>
  <si>
    <t>MAO-DE-OBRA DE CARPINTEIRO DE FORMA DE CONCRETO, INCLUSIVE ENCARGOS SOCIAIS DESONERADOS</t>
  </si>
  <si>
    <t>19.007.0013-E VIBRADOR IMERSAO ELETR. 2CV (CI)</t>
  </si>
  <si>
    <t>19.007.0013-C VIBRADOR IMERSAO ELETR. 2CV (CP)</t>
  </si>
  <si>
    <t>09.015.0074-A</t>
  </si>
  <si>
    <t>17.017.0350-A</t>
  </si>
  <si>
    <t>PRIMER EPOXI,ISOCIANATO DE 2 COMPONENTES</t>
  </si>
  <si>
    <t>DETERGENTE NEUTRO P/LIMPEZA INDUSTRIAL,EM SACO DE 25KG</t>
  </si>
  <si>
    <t>ESMALTE SINTETICO ALQUIDICO ALTO BRILHO,BRILHANTE, ACETINADO OU FOSCO</t>
  </si>
  <si>
    <t>18.200.0004-A</t>
  </si>
  <si>
    <t>TRAVE DESMONTAVEL PARA FUTEBOL DE SALAO,EM TUBO DE FERRO GALVANIZADO E BUCHAS.FORNECIMENTO</t>
  </si>
  <si>
    <t>POSTES P/FUTEBOL DE SALAO, EM TUBOS DE FRRO GALVANIZADO E BUCHAS - (PAR)</t>
  </si>
  <si>
    <t>18.200.0005-A</t>
  </si>
  <si>
    <t>REDE DE NYLON PARA FUTEBOL DE SALAO.FORNECIMENTO</t>
  </si>
  <si>
    <t>REDE DE NYLON, P/FUTEBOL DE SALAO- (PAR)</t>
  </si>
  <si>
    <t>ALAMBRADO/ESQUADRIAS</t>
  </si>
  <si>
    <t>MOBILIÁRIO</t>
  </si>
  <si>
    <r>
      <t>Secretaria Municipal de Planejamento Urbano</t>
    </r>
    <r>
      <rPr>
        <sz val="20"/>
        <rFont val="Arial"/>
        <family val="2"/>
      </rPr>
      <t xml:space="preserve"> </t>
    </r>
  </si>
  <si>
    <t>ORÇAMENTO Nº 001-19</t>
  </si>
  <si>
    <t>02.020.0002-A</t>
  </si>
  <si>
    <t>PLACA DE IDENTIFICACAO DE OBRA PUBLICA,TIPO BANNER/PLOTTER,CONSTITUIDA POR LONA E IMPRESSAO DIGITAL,INCLUSIVE SUPORTES D E MADEIRA.FORNECIMENTO E COLOCACAO (OBS.:3% - DESGASTE DE FERRAMENTAS E EPI).</t>
  </si>
  <si>
    <t>10806</t>
  </si>
  <si>
    <t>PLACA DE IDENTIFICACAO DE OBRA PUBLICA,TIPO BANNER/PLOTER, CONSTITUIDA POR LONAE IMPRESSAO DIGITAL</t>
  </si>
  <si>
    <t>UNIT s/ BDI</t>
  </si>
  <si>
    <t>UNITc/ BDI</t>
  </si>
  <si>
    <t>TOTAL s/ BDI</t>
  </si>
  <si>
    <t>TOTAL c/ BDI</t>
  </si>
  <si>
    <t>19.006.0002-C ROLO COMPACT. 5 A 10T 58,5CV (CP)</t>
  </si>
  <si>
    <t>19.006.0002-E ROLO COMPACT. 5 A 10T 58,5CV (CI)</t>
  </si>
  <si>
    <t>BRITA 3, PARA REGIAO METROPOLITANA DO RIO DE JANEIRO</t>
  </si>
  <si>
    <t>19.006.0030-C SOQUETE VIBRATORIO 78KG; 2,5CV (CP)</t>
  </si>
  <si>
    <t>19.006.0030-E SOQUETE VIBRATORIO 78KG; 2,5CV (CI)</t>
  </si>
  <si>
    <t>19.007.0016-C REGUA VIBRADORA DUPLA 3,4CV (CP)</t>
  </si>
  <si>
    <t>19.007.0016-E REGUA VIBRADORA DUPLA 3,4CV (CI)</t>
  </si>
  <si>
    <t>17.040.0021-A</t>
  </si>
  <si>
    <t>TINTA ACRILICA PARA PISO</t>
  </si>
  <si>
    <t>FITA CREPE, EM ROLO DE 25MMX50,00M</t>
  </si>
  <si>
    <t>MAO-DE-OBRA DE AUXILIAR DE TOPOGRAFIA, INCLUSIVE ENCARGOS SOCIAIS DESONERADOS</t>
  </si>
  <si>
    <t>17.040.0024-A</t>
  </si>
  <si>
    <t>LIXA D'AGUA N§ 100</t>
  </si>
  <si>
    <t>TUBO ACO GALVANIZADO COM COSTURA, CLASSE MEDIA, DN 2", E = *3,65* MM, PESO *5,10* KG/M (NBR 5580)</t>
  </si>
  <si>
    <t>ARAME GALVANIZADO 10 BWG, 3,40 MM (0,0713 KG/M)</t>
  </si>
  <si>
    <t>ARAME GALVANIZADO 14 BWG, D = 2,11 MM (0,026 KG/M)</t>
  </si>
  <si>
    <t>SERVENTE COM ENCARGOS COMPLEMENTARES</t>
  </si>
  <si>
    <t>SERRALHEIRO COM ENCARGOS COMPLEMENTARES</t>
  </si>
  <si>
    <t>TELA DE ARAME GALV QUADRANGULAR / LOSANGULAR,  FIO 2,77 MM (12 BWG), MALHA  5 X 5 CM, H = 2 M</t>
  </si>
  <si>
    <t>02.004.0001-A</t>
  </si>
  <si>
    <t>BARRACAO DE OBRA,COM PAREDES E PISO DE TABUAS DE MADEIRA DE 3¦,COBERTURA DE TELHAS DE FIBROCIMENTO DE 6MM,E INSTALACOES, EXCLUSIVE PINTURA,SENDO REAPROVEITADO 2 VEZES (OBS.:3% - DESGASTE DE FERRAMENTAS E EPI 1% - GRAMPO E ROSETA DE MADEIRA).</t>
  </si>
  <si>
    <t>02884</t>
  </si>
  <si>
    <t>FECHADURA DE SOBREPOR, TIPO CAIXAO, RETANGULAR, ACABAMENTO FERRO RESINADO PRETO,DE (100X86X38)MM</t>
  </si>
  <si>
    <t>00510</t>
  </si>
  <si>
    <t>RECEPTACULO DE PORCELANA P/LAMPADA INCANDESCENTE, BASE E-27</t>
  </si>
  <si>
    <t>00600</t>
  </si>
  <si>
    <t>02315</t>
  </si>
  <si>
    <t>02316</t>
  </si>
  <si>
    <t>00252</t>
  </si>
  <si>
    <t>02472</t>
  </si>
  <si>
    <t>04915</t>
  </si>
  <si>
    <t>05914</t>
  </si>
  <si>
    <t>08000</t>
  </si>
  <si>
    <t>TELHA ONDULADA DE CIMENTO, SEM AMIANTO,REFORCADA C/FIOS SINTETICOS (CRFS), DE (2,44X1,10)M E C/ESPES. DE 6MM</t>
  </si>
  <si>
    <t>02317</t>
  </si>
  <si>
    <t>FITA ISOLANTE, ROLO DE 19MMX20M</t>
  </si>
  <si>
    <t>31011</t>
  </si>
  <si>
    <t>01.005.0003-A</t>
  </si>
  <si>
    <t>PREPARO MANUAL DE TERRENO,COMPREENDENDO ACERTO,RASPAGEM EVENTUALMENTE ATE 0.30M DE PROFUNDIDADE E AFASTAMENTO LATERAL DO MATERIAL EXCEDENTE,INCLUSIVE COMPACTACAO MECANICA (OBS.:3% - DESGASTE DE FERRAMENTAS E EPI).</t>
  </si>
  <si>
    <t>30627</t>
  </si>
  <si>
    <t>30625</t>
  </si>
  <si>
    <t>14559</t>
  </si>
  <si>
    <t>07246</t>
  </si>
  <si>
    <t>TELA P/ESTRUTURA DE CONCRETO ARMADO, FORMADA POR FIOS DE ACO CA-60, DIAM.4,2MM EESPACAMENTO ENTRE ELES DE (15X15)CM</t>
  </si>
  <si>
    <t>04900</t>
  </si>
  <si>
    <t>PLASTICO NA COR PRETA, COM ESPESSURA DE0,15MM</t>
  </si>
  <si>
    <t>20046</t>
  </si>
  <si>
    <t>20015</t>
  </si>
  <si>
    <t>MAO-DE-OBRA DE ARMADOR DE CONCRETO ARMADO, INCLUSIVE ENCARGOS SOCIAIS DESONERADOS</t>
  </si>
  <si>
    <t>30735</t>
  </si>
  <si>
    <t>30734</t>
  </si>
  <si>
    <t>30731</t>
  </si>
  <si>
    <t>30730</t>
  </si>
  <si>
    <t>30694</t>
  </si>
  <si>
    <t>30693</t>
  </si>
  <si>
    <t>00173</t>
  </si>
  <si>
    <t>PINTURA INTERNA OU EXTERNA SOBRE FERRO GALVANIZADO OU ALUMINIO,USANDO FUNDO PARA GALVANIZADO,INCLUSIVE LIXAMENTO LEVE,LI MPEZA,DESENGORDURAMENTO E DUAS DEMAOS DE ACABAMENTO COM ESMALTE SINTETICO BRILHANTE OU ACETINADO (OBS.:3%-DESGASTE DE FERRAMENTAS E EPI).</t>
  </si>
  <si>
    <t>PINTURA DE PISO CIMENTADO LISO COM TINTA 100% ACRILICA,INCLUSIVE LIXAMENTO,LIMPEZA E TRES DEMAOS DE ACABAMENTO APLICADAS A ROLO DE LA,DILUICAO EM AGUA A 20% (OBS.:3%-DESGASTE DE FERRAMENTAS E EPI).</t>
  </si>
  <si>
    <t>06011</t>
  </si>
  <si>
    <t>02385</t>
  </si>
  <si>
    <t>MARCACAO DE QUADRA DE ESPORTE OU VAGA DE GARAGEM COM TINTA ACRILICA PROPRIA PARA PINTURA DE PISOS,COM UTILIZACAO DE SELA DOR E SOLVENTE PROPRIO E FITA CREPE COMO LIMITADOR DE LINHAS,MEDIDA PELA AREA REAL DE PINTURA (OBS.:3%-DESGASTE DE FERRAMENTAS E EPI).</t>
  </si>
  <si>
    <t>06029</t>
  </si>
  <si>
    <t>20032</t>
  </si>
  <si>
    <t>TOTAL 2.0</t>
  </si>
  <si>
    <t>3.2</t>
  </si>
  <si>
    <t>5.1</t>
  </si>
  <si>
    <t>5.2</t>
  </si>
  <si>
    <t>PROJETO: Eng° Patrick Suckow</t>
  </si>
  <si>
    <t>LEVANTAMENTO: Eng° Patrick Suckow</t>
  </si>
  <si>
    <t xml:space="preserve">ORÇAMENTO: </t>
  </si>
  <si>
    <t>02.002.0007-A</t>
  </si>
  <si>
    <t>TAPUME DE VEDACAO OU PROTECAO EXECUTADO COM TELHAS TRAPEZOIDAIS DE ACO GALVANIZADO,ESPESSURA DE 0,5MM,ESTAS COM 4 VEZES DE UTILIZACAO,INCLUSIVE ENGRADAMENTO DE MADEIRA,UTILIZADO 2VEZES,EXCLUSIVE PINTURA (OBS.:3% - DESGASTE DE FERRAMENTAS E EPI).</t>
  </si>
  <si>
    <t>13732</t>
  </si>
  <si>
    <t>TELHA TRAPEZOIDAL EM ACO GALVANIZADO, ESPESSURA DE 0,5MM</t>
  </si>
  <si>
    <t>CARGA, MANOBRAS E DESCARGA DE MATERIAIS DIVERSOS, COM CAMINHAO CARROCERIA 9T (CARGA E DESCARGA MANUAIS)</t>
  </si>
  <si>
    <t>TRANSPORTE COMERCIAL COM CAMINHAO CARROCERIA 9 T, RODOVIA PAVIMENTADA</t>
  </si>
  <si>
    <t>02.020.0002-0</t>
  </si>
  <si>
    <t>01999</t>
  </si>
  <si>
    <t>MAO-DE-OBRA DE SERVENTE DA CONSTRUCAO CIVIL, INCLUSIVE ENCARGOS SOCIAIS</t>
  </si>
  <si>
    <t>01967</t>
  </si>
  <si>
    <t>MAO-DE-OBRA DE CARPINTEIRO DE ESQUADRIASDE MADEIRA INCLUSIVE ENCARGOS SOCIAIS</t>
  </si>
  <si>
    <t>02.002.0007-0</t>
  </si>
  <si>
    <t>02.004.0001-0</t>
  </si>
  <si>
    <t>01983</t>
  </si>
  <si>
    <t>MAO-DE-OBRA DE ELETRICISTA DE CONSTRUCAOCIVIL, INCLUSIVE ENCARGOS SOCIAIS</t>
  </si>
  <si>
    <t>00365</t>
  </si>
  <si>
    <t>01.005.0003-0</t>
  </si>
  <si>
    <t>01018</t>
  </si>
  <si>
    <t>19.006.0002-4 ROLO COMPACT. 6 A 9T, MOTOR DIESEL 55CV,INCLUSIVE OPERADOR (CI)</t>
  </si>
  <si>
    <t>01016</t>
  </si>
  <si>
    <t>19.006.0002-2 ROLO COMPACT. 6 A 9T, MOTOR DIESEL 55CV,INCLUSIVE OPERADOR (CP)</t>
  </si>
  <si>
    <t>01998</t>
  </si>
  <si>
    <t>MAO-DE-OBRA DE ARMADOR DE CONCRETO ARMADO, INCLUSIVE ENCARGOS SOCIAIS</t>
  </si>
  <si>
    <t>01990</t>
  </si>
  <si>
    <t>MAO-DE-OBRA DE CARPINTEIRO DE FORMA DE CONCRETO, INCLUSIVE ENCARGOS SOCIAIS</t>
  </si>
  <si>
    <t>01968</t>
  </si>
  <si>
    <t>MAO-DE-OBRA DE PEDREIRO, INCLUSIVE ENCARGOS SOCIAIS</t>
  </si>
  <si>
    <t>02176</t>
  </si>
  <si>
    <t>19.006.0030-4 SOQUETE VIBRATORIO 78KG; 2,5CV (CI)</t>
  </si>
  <si>
    <t>02175</t>
  </si>
  <si>
    <t>19.006.0030-2 SOQUETE VIBRATORIO 78KG; 2,5CV (CP)</t>
  </si>
  <si>
    <t>02018</t>
  </si>
  <si>
    <t>19.007.0016-4 REGUA VIBRADORA DUPLA 3,4CV (CI)</t>
  </si>
  <si>
    <t>02017</t>
  </si>
  <si>
    <t>19.007.0016-2 REGUA VIBRADORA DUPLA 3,4CV (CP)</t>
  </si>
  <si>
    <t>01158</t>
  </si>
  <si>
    <t>19.007.0013-4 VIBRADOR IMERSAO ELETR. 2CV (CI)</t>
  </si>
  <si>
    <t>01157</t>
  </si>
  <si>
    <t>19.007.0013-2 VIBRADOR IMERSAO ELETR. 2CV (CP)</t>
  </si>
  <si>
    <t>09.015.0074-0</t>
  </si>
  <si>
    <t>06913</t>
  </si>
  <si>
    <t>MAO-DE-OBRA DE SERRALHEIRO DA CONSTRUCAOCIVIL, INCLUSIVE ENCARGOS SOCIAIS</t>
  </si>
  <si>
    <t>17.017.0350-0</t>
  </si>
  <si>
    <t>01966</t>
  </si>
  <si>
    <t>MAO-DE-OBRA DE PINTOR, INCLUSIVE ENCARGOS SOCIAIS</t>
  </si>
  <si>
    <t>17.040.0024-0</t>
  </si>
  <si>
    <t>17.040.0021-0</t>
  </si>
  <si>
    <t>01995</t>
  </si>
  <si>
    <t>MAO-DE-OBRA DE AUXILIAR DE TOPOGRAFIA, INCLUSIVE ENCARGOS SOCIAIS</t>
  </si>
  <si>
    <t>01950</t>
  </si>
  <si>
    <t>MAO-DE-OBRA DE TOPOGRAFO A (SERVICOS DECAMPO E ESCRITORIO, COM RESPONSABILIDADEDE DIRIGI-LOS),INCLUSIVE ENCARGOS SOCIAI</t>
  </si>
  <si>
    <t>01859</t>
  </si>
  <si>
    <t>19.011.0019-4 TEODOLITO ELETRONICO COM PRECISAO DE 9S(CI)</t>
  </si>
  <si>
    <t>01858</t>
  </si>
  <si>
    <t>19.011.0019-2 TEODOLITO ELETRONICO COM PRECISAO DE 9S(CP)</t>
  </si>
  <si>
    <t>18.200.0004-0</t>
  </si>
  <si>
    <t>18.200.0005-0</t>
  </si>
  <si>
    <t>6.1</t>
  </si>
  <si>
    <t>6.2</t>
  </si>
  <si>
    <t>02247</t>
  </si>
  <si>
    <t>CONCRETO IMPORTADO DE USINA, UTILIZANDOBRITA 1, DE 30MPA</t>
  </si>
  <si>
    <t>1.5</t>
  </si>
  <si>
    <t>21.003.0080-A</t>
  </si>
  <si>
    <t>POSTE DE ACO,RETO,CONICO CONTINUO OU ESCALONADO,ALTURA DE 6,00M,SEM SAPATA.FORNECIMENTO</t>
  </si>
  <si>
    <t>11464</t>
  </si>
  <si>
    <t>POSTE DE ACO RETO, CONICO CONTINUO, COM6M, SEM SAPATA</t>
  </si>
  <si>
    <t>21.001.0160-A</t>
  </si>
  <si>
    <t>ASSENTAMENTO DE POSTE RETO,DE ACO DE 3,50 ATE 6,00M,COM FLANGE DE ACO SOLDADO NA SUA BASE,FIXADO POR PARAFUSOS CHUMBADOR ES ENGASTADOS EM FUNDACAO DE CONCRETO,EXCLUSIVE FUNDACAO EFORNECIMENTO DO POSTE (OBS.:3%-DESGASTE DE FERRAMENTAS E EPI).</t>
  </si>
  <si>
    <t>15.020.0055-A</t>
  </si>
  <si>
    <t>LAMPADA DE VAPOR DE MERCURIO,DE 400W.FORNECIMENTO E COLOCACAO (OBS.:3%-DESGASTE DE FERRAMENTAS E EPI).</t>
  </si>
  <si>
    <t>05635</t>
  </si>
  <si>
    <t>LAMPADA DE VAPOR DE MERCURIO, 400W, 220V, OVOIDE, BASE E40</t>
  </si>
  <si>
    <t>18.027.0095-A</t>
  </si>
  <si>
    <t>LUMINARIA FECHADA,PARA ILUMINACAO DE QUADRA DE ESPORTES,DEPOSITOS E GALPOES,NA FORMA CIRCULAR,CORPO E FLANGE FUNDIDOS EM ALUMINIO,REFLETOR REPUXADO EM CHAPA DE ALUMINIO,DIFUSOR DE VIDRO TEMPERADO,PARA LAMPADA:MISTA ATE 250W,VAPOR DE MERCURIO ,VAPOR DE SODIO OU VAPOR METALICO ATE 400W,EXCLUSIVE LAMPADAE REATOR.FORNECIMENTO E COLOCACAO (OBS.:3%-DESGASTE DE FERRAMENTAS E EPI).</t>
  </si>
  <si>
    <t>02229</t>
  </si>
  <si>
    <t>LUMINARIA FECHADA, P/ILUM.QUADRA ESPORTES, DEPOS.E GALPOES, FORMA CIRCULAR, CORPO E FLANGE, P/LAMP.500W,V.METAL.ATE 400W</t>
  </si>
  <si>
    <t>18.260.0070-A</t>
  </si>
  <si>
    <t>RELE FOTOELETRICO,PARA COMANDO DE ILUMINACAO EXTERNA,NA TENSAO DE 220V E CARGA MAXIMA DE 1.000W.FORNECIMENTO E COLOCACAO (OBS.:3%-DESGASTE DE FERRAMENTAS E EPI).</t>
  </si>
  <si>
    <t>07062</t>
  </si>
  <si>
    <t>RELE FOTOELETRICO, PARA LUMINARIA EXTERNA, DE 1000W-220V</t>
  </si>
  <si>
    <t>FIO DE COBRE COM ISOLAMENTO TERMOPLASTICO,ANTICHAMA,COMPREENDENDO:PREPARO,CORTE E ENFIACAO EM ELETRODUTOS,NA BITOLA DE 4 MM2,450/750V.FORNECIMENTO E COLOCACAO (OBS.:3%-DESGASTE DE FERRAMENTAS E EPI).</t>
  </si>
  <si>
    <t>15.008.0025-A</t>
  </si>
  <si>
    <t>00284</t>
  </si>
  <si>
    <t>FIO C/ISOLAMENTO TERMOPLASTICO ANTICHAMADE 750V, DE 04,0MM2</t>
  </si>
  <si>
    <t>15.011.0021-A</t>
  </si>
  <si>
    <t>ENTRADA DE ENERGIA INDIVIDUAL,PADRAO LIGHT,MEDICAO DIRETA,REDE AEREA,DEMANDA ATE 8KVA,INCLUSIVE CAIXA TRANSPARENTE PARA MEDICAO(CTM),E CAIXA DE DISJUNTOR MONOPOLAR(CDJ1)INTERNA E DEMAIS MATERIAIS NECESSARIOS,EXCLUSIVE POSTE,DISJUNTOR E FIOS DE ENTRADA E SAIDA (OBS.:3%-DESGASTE DE FERRAMENTAS E EPI).</t>
  </si>
  <si>
    <t>05265</t>
  </si>
  <si>
    <t>ARMACAO SECUNDARIA, COMPLETA, PARA 3 LINHAS</t>
  </si>
  <si>
    <t>00116</t>
  </si>
  <si>
    <t>BOX DE ALUMINIO CURVO, DE 3/4"</t>
  </si>
  <si>
    <t>00289</t>
  </si>
  <si>
    <t>CABO SOLIDO DE COBRE ELETROLITICO NU, TEMPERA MOLE, CLASSE 2, SECAO CIRCULAR DE10,0 A 500,0MM2</t>
  </si>
  <si>
    <t>02341</t>
  </si>
  <si>
    <t>ELETRODUTO DE PVC PRETO, RIGIDO ROSQUEAVEL, COM ROSCA EM AMBAS EXTREMIDADES, EMBARRAS DE 3 METROS, DE 3/4"</t>
  </si>
  <si>
    <t>02643</t>
  </si>
  <si>
    <t>LUVA DE PVC RIGIDO ROSQUEAVEL, PARA ELETRODUTO, DE 3/4"</t>
  </si>
  <si>
    <t>02961</t>
  </si>
  <si>
    <t>CURVA 90§ DE PVC RIGIDO, ROSQUEAVEL, PARA ELETRODUTO, DE 3/4"</t>
  </si>
  <si>
    <t>03968</t>
  </si>
  <si>
    <t>CINTA GALVANIZADA, COM PARAFUSOS, DE 4"</t>
  </si>
  <si>
    <t>00115</t>
  </si>
  <si>
    <t>BUCHA E ARRUELA DE ALUMINIO PARA ELETRODUTO, DE 3/4"</t>
  </si>
  <si>
    <t>04210</t>
  </si>
  <si>
    <t>ISOLADOR TIPO CARRETILHA, MARROM, DE (72X72)MM</t>
  </si>
  <si>
    <t>08019</t>
  </si>
  <si>
    <t>CONECTOR PARAFUSO FENDIDO, TIPO SPLIT BOLT, FABRICADO EM COBRE, PARA CABO DE 010MM2</t>
  </si>
  <si>
    <t>11922</t>
  </si>
  <si>
    <t>CAIXA TRANSPARENTE PARA MEDICAO DIRETA(CTM), PARA ENTRADA DE ENERGIA INDIVIDUAL, PADRAO LIGHT</t>
  </si>
  <si>
    <t>11923</t>
  </si>
  <si>
    <t>CAIXA DISJUSTOR MONOPOLAR (CDJ1) INTERNA, PARA ENTRADA DE ENERGIA INDIVIDUAL PADRAO LIGHT</t>
  </si>
  <si>
    <t>03977</t>
  </si>
  <si>
    <t>HASTE TERRA, TIPO CANTONEIRA GALVANIZADA, DE 2,00M</t>
  </si>
  <si>
    <t>30163</t>
  </si>
  <si>
    <t>07.002.0025-B ARGAMASSA CIM.,AREIA TRACO 1:3,PREPAROMECANICO</t>
  </si>
  <si>
    <t>ARAME RECOZIDO 16 BWG, 1,60 MM (0,016 KG/M)</t>
  </si>
  <si>
    <t>ELETRICISTA COM ENCARGOS COMPLEMENTARES</t>
  </si>
  <si>
    <t>AUXILIAR DE ELETRICISTA COM ENCARGOS COMPLEMENTARES</t>
  </si>
  <si>
    <t>15.007.0209-A</t>
  </si>
  <si>
    <t>HASTE PARA ATERRAMENTO,DE COBRE DE 5/8"(16MM),COM 2,40M DE COMPRIMENTO.FORNECIMENTO E COLOCACAO (OBS.:3%-DESGASTE DE FERRAMENTAS E EPI).</t>
  </si>
  <si>
    <t>11798</t>
  </si>
  <si>
    <t>ELETRODUTO RÍGIDO ROSCÁVEL, PVC, DN 25 MM (3/4"), PARA CIRCUITOS TERMINAIS, INSTALADO EM LAJE - FORNECIMENTO E INSTALAÇÃO. AF_12/2015</t>
  </si>
  <si>
    <t>ELETRODUTO DE PVC RIGIDO ROSCAVEL DE 3/4 ", SEM LUVA</t>
  </si>
  <si>
    <t>CURVA 90 GRAUS PARA ELETRODUTO, PVC, ROSCÁVEL, DN 25 MM (3/4"), PARA CIRCUITOS TERMINAIS, INSTALADA EM FORRO - FORNECIMENTO E INSTALAÇÃO. AF_12/2015</t>
  </si>
  <si>
    <t>CURVA 90 GRAUS, LONGA, DE PVC RIGIDO ROSCAVEL, DE 3/4", PARA ELETRODUTO</t>
  </si>
  <si>
    <t>CAIXA DE INSPEÇÃO PARA ATERRAMENTO, CIRCULAR, EM POLIETILENO, DIÂMETRO INTERNO = 0,3 M. AF_05/2018</t>
  </si>
  <si>
    <t>CAIXA INSPECAO EM POLIETILENO PARA ATERRAMENTO E PARA RAIOS DIAMETRO = 300 MM</t>
  </si>
  <si>
    <t>PEDREIRO COM ENCARGOS COMPLEMENTARES</t>
  </si>
  <si>
    <t>Instalação Elétrica</t>
  </si>
  <si>
    <t>7.0</t>
  </si>
  <si>
    <t>7.1</t>
  </si>
  <si>
    <t>7.2</t>
  </si>
  <si>
    <t>5.4</t>
  </si>
  <si>
    <t>5.5</t>
  </si>
  <si>
    <t>5.6</t>
  </si>
  <si>
    <t>5.7</t>
  </si>
  <si>
    <t>5.8</t>
  </si>
  <si>
    <t>5.9</t>
  </si>
  <si>
    <t>5.11</t>
  </si>
  <si>
    <t>5.12</t>
  </si>
  <si>
    <t>5.13</t>
  </si>
  <si>
    <t>5.14</t>
  </si>
  <si>
    <t>5.16</t>
  </si>
  <si>
    <t>TOTAL 6.0</t>
  </si>
  <si>
    <t>POSTE DE CONCRETO,COM SECAO CIRCULAR,COM 7,00M DE COMPRIMENTO E CARGA NOMINAL HORIZONTAL NO TOPO DE 100KG,INCLUSIVE ESCA VACAO,EXCLUSIVE TRANSPORTE.FORNECIMENTO E COLOCACAO (OBS.:3%-DESGASTE DE FERRAMENTAS E EPI).</t>
  </si>
  <si>
    <t>18.045.0015-A</t>
  </si>
  <si>
    <t>00456</t>
  </si>
  <si>
    <t>POSTE DE CONCRETO, C/SECAO CIRCULAR, C/07,00M DE COMPR., PADRAO ABNT, EXCLUSIVETRANSP., C/CARGA NOM.HORIZ.TOPO 100KGF</t>
  </si>
  <si>
    <t>21.009.0010-A</t>
  </si>
  <si>
    <t>PINTURA DE POSTE RETO DE ACO,DE 3,50 A 6,00M,COM DUAS DEMAOS DE TINTA FENOLICA DE ALTA RESISTENCIA AS INTEMPERIES,DE SEC AGEM RAPIDA,NA COR ALUMINIO (OBS.:3%-DESGASTE DE FERRAMENTAS E EPI).</t>
  </si>
  <si>
    <t>05360</t>
  </si>
  <si>
    <t>TINTA FENOLICA COR METALICA PRATEADA OUALUMINIO</t>
  </si>
  <si>
    <t>03866</t>
  </si>
  <si>
    <t>REDUTOR P/DILUICAO DE TINTAS E VERNIZES,EM LATA DE 5 LITROS</t>
  </si>
  <si>
    <t>15.003.0390-A</t>
  </si>
  <si>
    <t>ABRACADEIRA DE FIXACAO,TIPO COPO,ESTAMPADA EM CHAPA DE FERRO ZINCADA,COMPOSTA DE CANOPLA,PARAFUSOS E ABRACADEIRAS PROPRI AMENTE DITA,NO DIAMETRO 1/2".FORNECIMENTO E COLOCACAO (OBS.:3%-DESGASTE DE FERRAMENTAS E EPI).</t>
  </si>
  <si>
    <t>05904</t>
  </si>
  <si>
    <t>PARAFUSO FERRO, ROSCA SOBERBA, CABECA CHATA, DE (3,2X20)MM</t>
  </si>
  <si>
    <t>05879</t>
  </si>
  <si>
    <t>BUCHA DE NYLON, TIPO S-04</t>
  </si>
  <si>
    <t>05268</t>
  </si>
  <si>
    <t>ABRACADEIRA TIPO COPO, DE 1/2"</t>
  </si>
  <si>
    <t>12.003.0095-A</t>
  </si>
  <si>
    <t>ALVENARIA DE TIJOLOS CERAMICOS FURADOS 10X20X30CM,COMPLEMENTADA COM 20% DE TIJOLOS DE 10X20X20CM,ASSENTES COM ARGAMASSA DE CIMENTO E SAIBRO,NO TRACO 1:8,EM PAREDES DE UMA VEZ(0,20M),DE SUPERFICIE CORRIDA,ATE 3,00M DE ALTURA E MEDIDA PELA AR EA REAL (OBS.:3%-DESGASTE DE FERRAMENTAS E EPI).</t>
  </si>
  <si>
    <t>00560</t>
  </si>
  <si>
    <t>TIJOLO CERAMICO, FURADO, DE (10X20X30)CM</t>
  </si>
  <si>
    <t>00559</t>
  </si>
  <si>
    <t>TIJOLO CERAMICO, FURADO, DE (10X20X20)CM</t>
  </si>
  <si>
    <t>30179</t>
  </si>
  <si>
    <t>07.006.0025-B ARGAMASSA CIM.,SAIBRO TRACO 1:8,PREPAROMECANICO</t>
  </si>
  <si>
    <t>13.001.0026-A</t>
  </si>
  <si>
    <t>EMBOCO COM ARGAMASSA DE CIMENTO E AREIA,NO TRACO 1:3 COM 2CM DE ESPESSURA,INCLUSIVE CHAPISCO DE CIMENTO E AREIA,NO TRACO 0,04375 (OBS.:3%-DESGASTE DE FERRAMENTAS E EPI).</t>
  </si>
  <si>
    <t>30350</t>
  </si>
  <si>
    <t>13.001.0010-B CHAPISCO SUPERF. CONCR./ALVEN.,COM ARGAMASSA DE CIMENTO E AREIA NO TRACO 1:3</t>
  </si>
  <si>
    <t>11.013.0003-B</t>
  </si>
  <si>
    <t>VERGAS DE CONCRETO ARMADO PARA ALVENARIA,COM APROVEITAMENTO DA MADEIRA POR 10 VEZES (OBS.:3%-DESGASTE DE FERRAMENTAS E EPI).</t>
  </si>
  <si>
    <t>00029</t>
  </si>
  <si>
    <t>ACO CA-25, ESTIRADO, PRECO DE REVENDEDOR, NO DIAMETRO DE 06,3MM</t>
  </si>
  <si>
    <t>00004</t>
  </si>
  <si>
    <t>ARAME RECOZIDO N§ 18</t>
  </si>
  <si>
    <t>59.003.0010-B PINUS,PECA 1" X 12" E 1" X 9"</t>
  </si>
  <si>
    <t>30245</t>
  </si>
  <si>
    <t>11.001.0001-B CONCRETO FCK 10MPA</t>
  </si>
  <si>
    <t>14496</t>
  </si>
  <si>
    <t>LIXA PARA MASSA</t>
  </si>
  <si>
    <t>06028</t>
  </si>
  <si>
    <t>SELADOR PIGMENTADO A BASE DE RESINA ACRILICA MODIFICADA, NA COR BRANCA</t>
  </si>
  <si>
    <t>17.018.0110-A</t>
  </si>
  <si>
    <t>PINTURA COM TINTA LATEX SEMIBRILHANTE,FOSCA OU ACETINADA,CLASSIFICACAO PREMIUM OU STANDARD (NBR 15079),PARA INTERIOR E E XTERIOR,BRANCA OU COLORIDA,SOBRE TIJOLO,CONCRETO LISO,CIMENTO SEM AMIANTO,E REVESTIMENTO,INCLUSIVE LIXAMENTO,UMA DEMAO D E SELADOR ACRILICO E DUAS DEMAOS DE ACABAMENTO (OBS.:3%-DESGASTE DE FERRAMENTAS E EPI).</t>
  </si>
  <si>
    <t>03876</t>
  </si>
  <si>
    <t>TINTA LATEX STANDARD PARA EXTERIOR/INTERIOR SEMIBRILHANTE BRANCA OU COLORIDA, EMBALDES DE 18 LITROS</t>
  </si>
  <si>
    <t>ESTRUTURA DE CONCRETO ARMADO/ ALVENARIA E REVESTIMENTO</t>
  </si>
  <si>
    <t>20150</t>
  </si>
  <si>
    <t>MAO-DE-OBRA DE TOPOGRAFO B (SERVICOS DECAMPO),INCLUSIVE ENCARGOS SOCIAIS DESONERADOS</t>
  </si>
  <si>
    <t>1.6</t>
  </si>
  <si>
    <t>2.2</t>
  </si>
  <si>
    <t>2.3</t>
  </si>
  <si>
    <t>2.4</t>
  </si>
  <si>
    <t>4.4</t>
  </si>
  <si>
    <t>4.5</t>
  </si>
  <si>
    <t>01.018.0002-A</t>
  </si>
  <si>
    <t>LOCACAO DE OBRA COM APARELHO TOPOGRAFICO SOBRE CERCA DE MARCACAO,INCLUSIVE CONSTRUCAO DESTA E SUA PRE-LOCACAO E O FORNEC IMENTO DO MATERIAL E TENDO POR MEDICAO O PERIMETRO A CONSTRUIR (OBS.:3% - DESGASTE DE FERRAMENTAS E EPI).</t>
  </si>
  <si>
    <t>PINUS, EM PECAS DE 7,50X7,50CM (3"X3")</t>
  </si>
  <si>
    <t>00349</t>
  </si>
  <si>
    <t>PINUS, EM PECAS DE 2,50X30,00CM (1"X12")</t>
  </si>
  <si>
    <t>CHI</t>
  </si>
  <si>
    <t>15.007.0415-A</t>
  </si>
  <si>
    <t>QUADRO DE DISTRIBUICAO DE ENERGIA PARA DISJUNTORES TERMO-MAGNETICOS UNIPOLARES,DE SOBREPOR,COM PORTA E BARRAMENTOS DE FA SE,NEUTRO E TERRA,TRIFASICO,PARA INSTALACAO DE ATE 18 DISJUNTORES COM DISPOSITIVO PARA CHAVE GERAL.FORNECIMENTO E COLOCA CAO. (OBS.:3%-DESGASTE DE FERRAMENTAS E EPI).</t>
  </si>
  <si>
    <t>11859</t>
  </si>
  <si>
    <t>QUADRO SOBREPOR P/ DISJUNTORES, C/PORTAE BARRAMENTO NEUTRO E TRIFASICO, P/INST.18 DISJ.C/DISPOSITIVO P/CHAVE GERAL</t>
  </si>
  <si>
    <t>DISJUNTOR BIPOLAR TIPO DIN, CORRENTE NOMINAL DE 16A - FORNECIMENTO E INSTALAÇÃO. AF_04/2016</t>
  </si>
  <si>
    <t>DISJUNTOR TIPO DIN/IEC, BIPOLAR DE 6 ATE 32A</t>
  </si>
  <si>
    <t>TERMINAL A COMPRESSAO EM COBRE ESTANHADO PARA CABO 2,5 MM2, 1 FURO E 1 COMPRESSAO, PARA PARAFUSO DE FIXACAO M5</t>
  </si>
  <si>
    <t>04.014.0095-A</t>
  </si>
  <si>
    <t>RETIRADA DE ENTULHO DE OBRA COM CACAMBA DE ACO TIPO CONTAINER COM 5M3 DE CAPACIDADE,INCLUSIVE CARREGAMENTO,TRANSPORTE E DESCARREGAMENTO.CUSTO POR UNIDADE DE CACAMBA E INCLUI A TAXA PARA DESCARGA EM LOCAIS AUTORIZADOS (OBS.:3%-DESGASTE DE FERRAMENTAS E EPI).</t>
  </si>
  <si>
    <t>10962</t>
  </si>
  <si>
    <t>ALUGUEL CACAMBA DE ACO TIPO CONTAINER C/5M3 CAPAC.P/RETIRADA ENTULHO OBRA,INCLUSIVE CARREGAM.,TRANSP.E DESCARREGAMENTO</t>
  </si>
  <si>
    <t>DOBRADICA EM FERRO LAMINADO, COM PINO DEFERRO REVERSIVEL, DE 3"X3"X5/64"</t>
  </si>
  <si>
    <t>GLOBO ESFERICO, EM VIDRO, TIPO LEITOSO,DE 4"X6"</t>
  </si>
  <si>
    <t>59.003.0010-1 PINUS,PECA 1" X 12" E 1" X 9"</t>
  </si>
  <si>
    <t>PISO DE CONCRETO ARMADO MONOLITICO,C/JUNTA FRIA,ALISADO C/REGUA VIBRATORIA,ESPESSURA 10CM,SOBRE TERRENO ACERTADO E SOBRE LASTRO DE BRITA,EXCLUSIVE ACERTO DO TERRENO,INCLUSIVE BRITA,LONA DE TECIDO RESINADO,TELA SOLDADA 15X15CM #4,2MM(DUPLA), CONCRETO USINADO RESISTENCIA A COMPRESSAO 20MPA C/TRANSPORTEDO CONCRETO E TODA A MAO-DE-OBRA E EQUIPAMENTOS NECESSARIOS (OBS.:3%-DESGASTE DE FERRAMENTAS E EPI).</t>
  </si>
  <si>
    <t>12.003.0095-0</t>
  </si>
  <si>
    <t>01613</t>
  </si>
  <si>
    <t>07.006.0025-1 ARGAMASSA CIM.,SAIBRO TRACO 1:8,PREPAROMECANICO</t>
  </si>
  <si>
    <t>13.001.0026-0</t>
  </si>
  <si>
    <t>03084</t>
  </si>
  <si>
    <t>13.001.0010-1 CHAPISCO SUPERF. CONCR./ALVEN.,COM ARGAMASSA DE CIMENTO E AREIA NO TRACO 1:3</t>
  </si>
  <si>
    <t>01605</t>
  </si>
  <si>
    <t>07.002.0025-1 ARGAMASSA CIM.,AREIA TRACO 1:3,PREPAROMECANICO</t>
  </si>
  <si>
    <t>11.013.0003-1</t>
  </si>
  <si>
    <t>01633</t>
  </si>
  <si>
    <t>11.001.0001-1 CONCRETO FCK 10MPA</t>
  </si>
  <si>
    <t>ALAMBRADO PARA QUADRA POLIESPORTIVA, ESTRUTURADO POR TUBOS DE ACO GALVANIZADO, COM COSTURA, DIN 2440, DIAMETRO 2", COM TELA DE ARAME GALVANIZADO, FIO 14 BWG E MALHA QUADRADA 5X5CM</t>
  </si>
  <si>
    <t>CONTRAVENTAMENTO DE ALAMBRADO COM TUBOS DE FERRO GALVANIZADO(EXTERN.E INTERNAMENTE),C/DIAMETRO INTERNO DE 2" E ESPESSURA DE PAREDE DE 1/8".FORNECIMENTO E COLOCACAO (OBS.:3%-DESGASTE DE FERRAMENTAS E EPI 15%-PERDAS E DEMAIS MATERIAIS NECESSARIOS).</t>
  </si>
  <si>
    <t>TUBO DE ACO GALVANIZADO, COM COSTURA, PESADO, NBR 5580, DN=2"</t>
  </si>
  <si>
    <t>21.009.0010-0</t>
  </si>
  <si>
    <t>01919</t>
  </si>
  <si>
    <t>MAO-DE-OBRA DE AJUDANTE DE MONTADOR ELETROMECANICO (ILUMINACAO PUBLICA), INCLUSIVE ENCARGOS SOCIAIS</t>
  </si>
  <si>
    <t>17.018.0110-0</t>
  </si>
  <si>
    <t>21.003.0080-0</t>
  </si>
  <si>
    <t>21.001.0160-0</t>
  </si>
  <si>
    <t>15.020.0055-0</t>
  </si>
  <si>
    <t>18.027.0095-0</t>
  </si>
  <si>
    <t>18.260.0070-0</t>
  </si>
  <si>
    <t>15.007.0415-0</t>
  </si>
  <si>
    <t>15.008.0025-0</t>
  </si>
  <si>
    <t>15.011.0021-0</t>
  </si>
  <si>
    <t>01648</t>
  </si>
  <si>
    <t>12.003.0075-1 ALVENARIA TIJ. FURADO 10X20X20CM</t>
  </si>
  <si>
    <t>15.007.0209-0</t>
  </si>
  <si>
    <t>18.045.0015-0</t>
  </si>
  <si>
    <t>02003</t>
  </si>
  <si>
    <t>19.004.0080-2 GUINDAUTO 3,5T, ALCANCE 7,0M (CP)</t>
  </si>
  <si>
    <t>01763</t>
  </si>
  <si>
    <t>11.002.0034-1 LANCAMENTO CONC.S/ARM.3,5M3/H, HORIZ.</t>
  </si>
  <si>
    <t>01635</t>
  </si>
  <si>
    <t>11.001.0005-1 CONCRETO FCK 15MPA</t>
  </si>
  <si>
    <t>01005</t>
  </si>
  <si>
    <t>19.004.0004-3 CAMINHAO CARROC. FIXA, 7,5T (CF)</t>
  </si>
  <si>
    <t>15.003.0390-0</t>
  </si>
  <si>
    <t>04.014.0095-0</t>
  </si>
  <si>
    <t>7.3</t>
  </si>
  <si>
    <t>02.015.0001-A</t>
  </si>
  <si>
    <t>ENTRADA PROVISORIA DE ENERGIA ELETRICA AEREA TRIFASICA 40A EM POSTE MADEIRA</t>
  </si>
  <si>
    <t>MADEIRA ROLICA TRATADA, EUCALIPTO OU EQUIVALENTE DA REGIAO, H = 12 M, D = 20 A 24 CM (PARA POSTE)</t>
  </si>
  <si>
    <t>CINTA CIRCULAR EM ACO GALVANIZADO DE 150 MM DE DIAMETRO PARA FIXACAO DE CAIXA MEDICAO, INCLUI PARAFUSOS E PORCAS</t>
  </si>
  <si>
    <t>CABO DE COBRE NU 16 MM2 MEIO-DURO</t>
  </si>
  <si>
    <t>FIO DE COBRE, SOLIDO, CLASSE 1, ISOLACAO EM PVC/A, ANTICHAMA BWF-B, 450/750V, SECAO NOMINAL 10 MM2</t>
  </si>
  <si>
    <t>CAIXA INTERNA DE MEDICAO PARA 1 MEDIDOR TRIFASICO, COM VISOR, EM CHAPA DE ACO 18 USG (PADRAO DA CONCESSIONARIA LOCAL)</t>
  </si>
  <si>
    <t>ARMACAO VERTICAL COM HASTE E CONTRA-PINO, EM CHAPA DE ACO GALVANIZADO 3/16", COM 4 ESTRIBOS E 4 ISOLADORES</t>
  </si>
  <si>
    <t>CONECTOR METALICO TIPO PARAFUSO FENDIDO (SPLIT BOLT), PARA CABOS ATE 16 MM2</t>
  </si>
  <si>
    <t>LUVA EM PVC RIGIDO ROSCAVEL, DE 1", PARA ELETRODUTO</t>
  </si>
  <si>
    <t>FITA ACO INOX PARA CINTAR POSTE, L = 19 MM, E = 0,5 MM (ROLO DE 30M)</t>
  </si>
  <si>
    <t>ELETRODUTO DE PVC RIGIDO ROSCAVEL DE 1 ", SEM LUVA</t>
  </si>
  <si>
    <t>!EM PROCESSO DE DESATIVACAO! HASTE DE ATERRAMENTO EM ACO COM 3,00 M DE COMPRIMENTO E DN = 5/8", REVESTIDA COM BAIXA CAMADA DE COBRE, SEM CONECTOR</t>
  </si>
  <si>
    <t>PARAFUSO DE FERRO POLIDO, SEXTAVADO, COM ROSCA PARCIAL, DIAMETRO 5/8", COMPRIMENTO 6", COM PORCA E ARRUELA DE PRESSAO MEDIA</t>
  </si>
  <si>
    <t>ARRUELA REDONDA DE LATAO, DIAMETRO EXTERNO = 34 MM, ESPESSURA = 2,5 MM, DIAMETRO DO FURO = 17 MM</t>
  </si>
  <si>
    <t>CURVA 180 GRAUS, DE PVC RIGIDO ROSCAVEL, DE 3/4", PARA ELETRODUTO</t>
  </si>
  <si>
    <t>BUCHA EM ALUMINIO, COM ROSCA, DE 1", PARA ELETRODUTO</t>
  </si>
  <si>
    <t>ARRUELA EM ALUMINIO, COM ROSCA, DE 1", PARA ELETRODUTO</t>
  </si>
  <si>
    <t>DISJUNTOR TIPO NEMA, TRIPOLAR 10  ATE  50A, TENSAO MAXIMA DE 415 V</t>
  </si>
  <si>
    <t>INSTALACAO E LIGACAO PROVISORIA PARA ABASTECIMENTO DE AGUA E ESGOTAMENTO SANITARIO EM CANTEIRO DE OBRAS,INCLUSIVE ESCAVA CAO,EXCLUSIVE REPOSICAO DA PAVIMENTACAO DO LOGRADOURO PUBLICO (OBS.:3% - DESGASTE DE FERRAMENTAS E EPI).</t>
  </si>
  <si>
    <t>00872</t>
  </si>
  <si>
    <t>CURVA 45§ OU 90§ DE CERAMICA PARA ESGOTOCOM JUNTA ARGAMASSA, DE 0100MM</t>
  </si>
  <si>
    <t>00702</t>
  </si>
  <si>
    <t>REGISTRO DE GAVETA DE BRONZE, DE 1¦ QUALIDADE COM ROSCA DE AMBOS OS LADOS, DE 3/4"</t>
  </si>
  <si>
    <t>00148</t>
  </si>
  <si>
    <t>TUBO DE ACO GALVANIZADO, COM COSTURA, PESADO, NBR 5580, DN=3/4"</t>
  </si>
  <si>
    <t>00843</t>
  </si>
  <si>
    <t>TUBO CERAMICO, ESGOTO SANITARIO, DE 100MM E COM COMPRIMENTO DE 1,00M</t>
  </si>
  <si>
    <t>00788</t>
  </si>
  <si>
    <t>CAIXA D'AGUA DE FIBRA DE VIDRO OU POLIETILENO, COM CAPACIDADE DE 1000 LITROS</t>
  </si>
  <si>
    <t>20039</t>
  </si>
  <si>
    <t>MAO-DE-OBRA DE BOMBEIRO HIDRAULICO DA CONSTRUCAO CIVIL, INCLUSIVE ENCARGOS SOCIAIS DESONERADOS</t>
  </si>
  <si>
    <t>00688</t>
  </si>
  <si>
    <t>LIGACAO DE AGUA CEDAE, PARA INSTALACAO NO PASSEIO, DE 3/4", VAZAO DE 3,0M3/H (VALOR TOTAL)</t>
  </si>
  <si>
    <t>30403</t>
  </si>
  <si>
    <t>15.071.0012-B LIGACAO AGUAS PLUVIAIS OU DOMICILIARES</t>
  </si>
  <si>
    <t>CARGA E DESCARGA MECANIZADAS DE ENTULHO EM CAMINHAO BASCULANTE 6 M3</t>
  </si>
  <si>
    <t>M3XKM</t>
  </si>
  <si>
    <t>7.4</t>
  </si>
  <si>
    <t>7.5</t>
  </si>
  <si>
    <t>1.9</t>
  </si>
  <si>
    <t>1.10</t>
  </si>
  <si>
    <t>1.11</t>
  </si>
  <si>
    <t>02.015.0001-0</t>
  </si>
  <si>
    <t>01993</t>
  </si>
  <si>
    <t>MAO-DE-OBRA DE BOMBEIRO HIDRAULICO DA CONSTRUCAO CIVIL, INCLUSIVE ENCARGOS SOCIAIS</t>
  </si>
  <si>
    <t>02082</t>
  </si>
  <si>
    <t>15.071.0012-1 LIGACAO AGUAS PLUVIAIS OU DOMICILIARES</t>
  </si>
  <si>
    <t>01.018.0002-0</t>
  </si>
  <si>
    <t>01958</t>
  </si>
  <si>
    <t>MAO-DE-OBRA DE TOPOGRAFO B (SERVICOS DECAMPO), INCLUSIVE ENCARGOS SOCIAIS</t>
  </si>
  <si>
    <t>5.3</t>
  </si>
  <si>
    <t>5.10</t>
  </si>
  <si>
    <t>TOTAL 5.0</t>
  </si>
  <si>
    <r>
      <t>Data-Base:   EMOP -  RJ / SINAPI e SCO-RJ-</t>
    </r>
    <r>
      <rPr>
        <b/>
        <sz val="12"/>
        <color indexed="8"/>
        <rFont val="Arial"/>
        <family val="2"/>
      </rPr>
      <t xml:space="preserve"> NAO Deso</t>
    </r>
    <r>
      <rPr>
        <b/>
        <sz val="12"/>
        <color indexed="8"/>
        <rFont val="Arial"/>
        <family val="2"/>
      </rPr>
      <t>nerado -</t>
    </r>
    <r>
      <rPr>
        <sz val="12"/>
        <color indexed="8"/>
        <rFont val="Arial"/>
        <family val="2"/>
      </rPr>
      <t xml:space="preserve"> Base ABRIL-2019</t>
    </r>
  </si>
  <si>
    <t>ELÉTRICA</t>
  </si>
  <si>
    <t>90 DIAS</t>
  </si>
  <si>
    <t>19.005.0028-3</t>
  </si>
  <si>
    <t>RETROESCAVADEIRA, COM PESO OPERACIONAL EM TORNO DE 7T, MOTORDIESEL EM TORNO DE 75CV, CAPACIDADE APROXIMADA DA CACAMBA DE 0,76M3, PROFUNDIDADE DE ESCAVACAO MAXIMA DE 4,00M, INCLUSIVEOPERADOR (OBS.:50%-FILTRO).</t>
  </si>
  <si>
    <t>00222</t>
  </si>
  <si>
    <t>GRAXA COMUM P/LUBRIFICACAO DE CHASSIS, EM TAMBORES DE 170KG</t>
  </si>
  <si>
    <t>00220</t>
  </si>
  <si>
    <t>OLEO LUBRIFICANTE MINERAL MULTIVISCOSO,CLASSIFICACAO API CG-4, GRAU SAE 20W-40</t>
  </si>
  <si>
    <t>L</t>
  </si>
  <si>
    <t>00218</t>
  </si>
  <si>
    <t>OLEO DIESEL COMBUSTIVEL COMUM, NA BOMBA</t>
  </si>
  <si>
    <t>01970</t>
  </si>
  <si>
    <t>MAO-DE-OBRA DE OPERADOR DE MAQUINA (TRATOR, ETC), INCLUSIVE ENCARGOS SOCIAIS</t>
  </si>
  <si>
    <t>05817</t>
  </si>
  <si>
    <t>RETROESCAVADEIRA, PRECO SEM PNEUS, PESOEM TORNO DE 7T, MOTOR DIESEL EM TORNO DE75CV, CAPAC. APROX. CACAMBA DE 0,76M3</t>
  </si>
  <si>
    <t>01.001.0075-1</t>
  </si>
  <si>
    <t>PERFURACAO MANUAL DE SOLO,A TRADO ATE 6" (OBS.:3% - DESGASTE DE FERRAMENTAS E EPI).</t>
  </si>
  <si>
    <t>CONCRETAGEM DE PILARES, FCK = 25 MPA,  COM USO DE BALDES EM EDIFICAÇÃO COM SEÇÃO MÉDIA DE PILARES MENOR OU IGUAL A 0,25 M² - LANÇAMENTO, ADENSAMENTO E ACABAMENTO. AF_12/2015</t>
  </si>
  <si>
    <t>CARPINTEIRO DE FORMAS COM ENCARGOS COMPLEMENTARES</t>
  </si>
  <si>
    <t>ARMAÇÃO DE PILAR OU VIGA DE UMA ESTRUTURA CONVENCIONAL DE CONCRETO ARMADO EM UMA EDIFICAÇÃO TÉRREA OU SOBRADO UTILIZANDO AÇO CA-50 DE 8,0 MM - MONTAGEM. AF_12/2015</t>
  </si>
  <si>
    <t>ESPACADOR / DISTANCIADOR CIRCULAR COM ENTRADA LATERAL, EM PLASTICO, PARA VERGALHAO *4,2 A 12,5* MM, COBRIMENTO 20 MM</t>
  </si>
  <si>
    <t>ARAME RECOZIDO 18 BWG, 1,25 MM (0,01 KG/M)</t>
  </si>
  <si>
    <t>ARMADOR COM ENCARGOS COMPLEMENTARES</t>
  </si>
  <si>
    <t>AJUDANTE DE ARMADOR COM ENCARGOS COMPLEMENTARES</t>
  </si>
  <si>
    <t>01.001.0075-B</t>
  </si>
  <si>
    <t>19.005.0028-D</t>
  </si>
  <si>
    <t>20111</t>
  </si>
  <si>
    <t>MAO-DE-OBRA DE OPERADOR DE MAQUINA (TRATOR, ETC.), INCLUSIVE ENCARGOS SOCIAIS DESONERADOS</t>
  </si>
  <si>
    <t>2.5</t>
  </si>
  <si>
    <t>2.6</t>
  </si>
  <si>
    <t>CALCETEIRO COM ENCARGOS COMPLEMENTARES</t>
  </si>
  <si>
    <t>01901</t>
  </si>
  <si>
    <t>MAO-DE-OBRA DE SERVENTE PARA SERVICOS DECONSERVACAO, INCLUSIVE ENCARGOS SOCIAIS</t>
  </si>
  <si>
    <t>20133</t>
  </si>
  <si>
    <t>MAO-DE-OBRA DE SERVENTE PARA SERVICOS DECONSERVACAO, INCLUSIVE ENCARGOS SOCIAISDESONERADOS</t>
  </si>
  <si>
    <t>05.001.0142-A</t>
  </si>
  <si>
    <t>05.001.0142-0</t>
  </si>
  <si>
    <t>1.7</t>
  </si>
  <si>
    <t>1.8</t>
  </si>
  <si>
    <t>1.12</t>
  </si>
  <si>
    <t>09.007.0003-A</t>
  </si>
  <si>
    <t>ARRANCAMENTO E REPLANTIO DE ARVORE ADULTA,ACIMA DE 5,00M DE ALTURA E MAIS DE 20CM DE DIAMETRO,INCLUSIVE ESCAVACAO E REGA DURANTE 15 DIAS,EXCLUSIVE TRANSPORTE (OBS.:3%-DESGASTE DE FERRAMENTAS E EPI).</t>
  </si>
  <si>
    <t>09.007.0003-0</t>
  </si>
  <si>
    <t>Local: PRAÇA 1° DE MAIO, RUA DOZE, VISTA ALEGRE, BARRA MANSA - RJ</t>
  </si>
  <si>
    <t>DATA:21/08/2019</t>
  </si>
  <si>
    <t>ORÇAMENTO Nº</t>
  </si>
  <si>
    <t>Local:  PRAÇA 1° DE MAIO, RUA DOZE, VISTA ALEGRE, BARRA MANSA - RJ</t>
  </si>
  <si>
    <t xml:space="preserve">Pavimentação e Paisagismo </t>
  </si>
  <si>
    <t>EXECUÇÃO DE PASSEIO EM PISO INTERTRAVADO, COM BLOCO 16 FACES DE 22 X 11 CM, ESPESSURA 6 CM. AF_12/2015</t>
  </si>
  <si>
    <t>BLOQUETE/PISO INTERTRAVADO DE CONCRETO - MODELO ONDA/16 FACES/RETANGULAR/TIJOLINHO/PAVER/HOLANDES/PARALELEPIPEDO, 20 CM X 10 CM, E = 6 CM, RESISTENCIA DE 35 MPA (NBR 9781), COR NATURAL</t>
  </si>
  <si>
    <t>PO DE PEDRA (POSTO PEDREIRA/FORNECEDOR, SEM FRETE)</t>
  </si>
  <si>
    <t>AREIA MEDIA - POSTO JAZIDA/FORNECEDOR (RETIRADO NA JAZIDA, SEM TRANSPORTE)</t>
  </si>
  <si>
    <t>ASSENTAMENTO DE GUIA (MEIO-FIO) EM TRECHO RETO, CONFECCIONADA EM CONCRETO PRÉ-FABRICADO, DIMENSÕES 100X15X13X20 CM (COMPRIMENTO X BASE INFERIOR X BASE SUPERIOR X ALTURA), PARA URBANIZAÇÃO INTERNA DE EMPREENDIMENTOS. AF_06/2016_P</t>
  </si>
  <si>
    <t>MEIO-FIO OU GUIA DE CONCRETO, PRE-MOLDADO, COMP 1 M, *30 X 15/ 12* CM (H X L1/L2)</t>
  </si>
  <si>
    <t>00700</t>
  </si>
  <si>
    <t>GRAMA EM PLACAS, TIPO ESMERALDA, SEM TRANSPORTE</t>
  </si>
  <si>
    <t>09.001.0001-B</t>
  </si>
  <si>
    <t>05.001.0170-0</t>
  </si>
  <si>
    <t>TRANSPORTE HORIZONTAL DE MATERIAL DE 1¦CATEGORIA OU ENTULHO,EM CARRINHOS,A 10,00M DE DISTANCIA,INCLUSIVE CARGA A PA (OBS.:3%- DESGASTE DE FERRAMENTAS E EPI).</t>
  </si>
  <si>
    <t>09.015.0328-0</t>
  </si>
  <si>
    <t>GANGORRA DE 0/4 ANOS COM PRANCHAS DE MADEIRA APARELHADA,ESTAS FIXAS EM TUBO DE FERRO GALVANIZADO (EXTERNA E INTERNAMENTE ) DE 2" E ESPESSURA DE PAREDE DE 1/8",COM PINTURA DE BASE GALVITE E 2 DEMAOS DE ACABAMENTO.FORNECIMENTO E COLOCACAO</t>
  </si>
  <si>
    <t>06021</t>
  </si>
  <si>
    <t>FUNDO ANTICORROSIVO DE SECAGEM RAPIDA LARANJA</t>
  </si>
  <si>
    <t>00125</t>
  </si>
  <si>
    <t>TINTA FUNDO SINTETICO NIVELADOR, PARA MADEIRA, INTERIORES E EXTERIORES</t>
  </si>
  <si>
    <t>00413</t>
  </si>
  <si>
    <t>MASSA PARA MADEIRA</t>
  </si>
  <si>
    <t>00032</t>
  </si>
  <si>
    <t>ACO CA-25, ESTIRADO, PRECO DE REVENDEDOR, NO DIAMETRO DE 12,5MM</t>
  </si>
  <si>
    <t>03878</t>
  </si>
  <si>
    <t>VERNIZ ISOLANTE INCOLOR</t>
  </si>
  <si>
    <t>11249</t>
  </si>
  <si>
    <t>BARRA CHATA DE ACO, DE 2"X3/8"</t>
  </si>
  <si>
    <t>11282</t>
  </si>
  <si>
    <t>BARRA CHATA DE ACO, DE 1.1/2"X1/2"</t>
  </si>
  <si>
    <t>11303</t>
  </si>
  <si>
    <t>CANTONEIRA ACO, COM ABAS IGUAIS, DE (1.1/2"X3/16")</t>
  </si>
  <si>
    <t>11260</t>
  </si>
  <si>
    <t>BARRA CHATA DE ACO, DE 2"X1/4"</t>
  </si>
  <si>
    <t>13977</t>
  </si>
  <si>
    <t>PARAFUSO FRANCES DE FERRO GALVANIZADO, COM PORCA, MEDINDO (1/4"X2")</t>
  </si>
  <si>
    <t>13958</t>
  </si>
  <si>
    <t>ARRUELA DE PRESSAO, DE 3/8"</t>
  </si>
  <si>
    <t>13974</t>
  </si>
  <si>
    <t>PORCA SEXTAVADA DE ACO CARBONO, DE 3/8"</t>
  </si>
  <si>
    <t>13966</t>
  </si>
  <si>
    <t>ROLAMENTO, N§ 627/2Z, MARCA NSK OU SKF OU SIMILAR</t>
  </si>
  <si>
    <t>13959</t>
  </si>
  <si>
    <t>MADEIRA APARELHADA, SECAO (2,5X20)CM - GRUPO I</t>
  </si>
  <si>
    <t>13963</t>
  </si>
  <si>
    <t>PARAFUSO DE ACO CARBONO, CABECA SEXTAVADA, MEDINDO (3/8"X1 1/2")</t>
  </si>
  <si>
    <t>01766</t>
  </si>
  <si>
    <t>11.002.0037-1 LANCAMENTO CONC.S/ARM.1,0M3/H,HORIZ/VERT</t>
  </si>
  <si>
    <t>01747</t>
  </si>
  <si>
    <t>11.002.0015-1 PREPARO CONCR. BETON. 320L; 1,00M3/H</t>
  </si>
  <si>
    <t>09.015.0330-0</t>
  </si>
  <si>
    <t>GANGORRA DE 5/10ANOS C/2 PRANCHAS,MADEIRA APARELHADA, ESTAS FIXADAS EM TUBO DE FERRO GALVANIZADO(EXT.E INTERNAMENTE) DE 2"E 2 1/2" E ESPESSURA DE PAREDE DE 1/8",COM PINTURA DE BASEGALVITE E 2 DEMAOS DE ACABAMENTO.FORNECIMENTO E COLOCACAO (OBS.:3%-DESGASTE DE FERRAMENTAS E EPI 15%-PERDAS E DEMAIS MATERIAIS NECESSARIOS).</t>
  </si>
  <si>
    <t>00196</t>
  </si>
  <si>
    <t>TUBO DE ACO GALVANIZADO, COM COSTURA, PESADO, NBR 5580, DN=2.1/2"</t>
  </si>
  <si>
    <t>09.015.0326-0</t>
  </si>
  <si>
    <t>ESCADA DE ESCORREGA COMPLETA, INCLUSIVE PATAMAR,COM PINTURA TRANSPORTE E DESMONTAGEM DA DANIFICADA.FORNECIMENTO E COLOCA CAO (OBS.:3%-DESGASTE DE FERRAMENTAS E EPI 15%-PERDAS E DEMAIS MATERIAIS NECESSARIOS).</t>
  </si>
  <si>
    <t>13981</t>
  </si>
  <si>
    <t>PARAFUSO DE ACO CARBONO, CABECA SEXTAVADA, MEDINDO (5/16"X2")</t>
  </si>
  <si>
    <t>09.015.0314-0</t>
  </si>
  <si>
    <t>BALANCO DE 5/10ANOS COMPOST.C/2 CADEIRAS,PRESAS EM CORRENTES GALV.FIXAD. P/MEIO DE BRACAD.C/ TRAVESSAO TUBOS FERRO GALV. (EXT.E INTERNAMENTE)DE 2 1/2"E ESP.PAREDE 1/8",SUSPENSAS EMCAVALETES TUBO FERRO GALV.2", CHUMBADOS EM SAPATAS CONCRETO, PINTADOS C/BASE GALVITE E 2 DEMAOS ACABAMENTO.FORNECIMENTO ECOLOCACAO (OBS.:3%-DESGASTE DE FERRAMENTAS E EPI 15%-PERDAS E DEMAIS MATERIAIS NECESSARIOS).</t>
  </si>
  <si>
    <t>06002</t>
  </si>
  <si>
    <t>PARAFUSO FRANCES, COM PORCA E ARRUELA, DE 1/4"X2"</t>
  </si>
  <si>
    <t>10910</t>
  </si>
  <si>
    <t>BARRA CHATA DE ACO 1.1/2"X3/8"</t>
  </si>
  <si>
    <t>11276</t>
  </si>
  <si>
    <t>BARRA CHATA DE ACO, DE 1.1/2"X1/4"</t>
  </si>
  <si>
    <t>11391</t>
  </si>
  <si>
    <t>PARAFUSO EM ACO CARBONO 1020, SEXTAVADO,ROSCA PARCIAL, 8x40MM</t>
  </si>
  <si>
    <t>13965</t>
  </si>
  <si>
    <t>PORCA SEXTAVADA DE ACO GALVANIZADO, DE 3/8"</t>
  </si>
  <si>
    <t>13964</t>
  </si>
  <si>
    <t>PARAFUSO DE ACO CARBONO, CABECA SEXTAVADA, MEDINDO (3/8"X2")</t>
  </si>
  <si>
    <t>13961</t>
  </si>
  <si>
    <t>CORRENTE DE ACO GALVANIZADO DE 3/16"</t>
  </si>
  <si>
    <t>09.015.0322-0</t>
  </si>
  <si>
    <t>ESCORREGA DE 0/4ANOS C/ALTURA DE 1,17M EM MADEIRA APARELHADAE TUBOS DE FERRO GALVANIZADO(EXT.E INTERNAMENTE) DE 3/4"E 2" E ESPESSURA DE PAREDE DE 1/8", COM PINTURA DE BASE GALVITE E2 DEMAOS DE ACABAMENTO.FORNECIMENTO E COLOCACAO (OBS.:3%-DESGASTE DE FERRAMENTAS E EPI 15%-PERDAS E DEMAIS MATERIAIS NECESSARIOS).</t>
  </si>
  <si>
    <t>00031</t>
  </si>
  <si>
    <t>ACO CA-25, ESTIRADO, PRECO DE REVENDEDOR, NO DIAMETRO DE 10,0MM</t>
  </si>
  <si>
    <t>13973</t>
  </si>
  <si>
    <t>PARAFUSO FRANCES DE FERRO GALVANIZADO, COM PORCA, MEDINDO (5/16"X2")</t>
  </si>
  <si>
    <t>20.105.0005-0</t>
  </si>
  <si>
    <t>PINTURA DE MEIO-FIO COM CAL,COM UMA DEMAO (OBS.:3%-DESGASTE DE FERRAMENTAS E EPI).</t>
  </si>
  <si>
    <t>00437</t>
  </si>
  <si>
    <t>OLEO DE LINHACA</t>
  </si>
  <si>
    <t>00209</t>
  </si>
  <si>
    <t>CAL HIDRATADA</t>
  </si>
  <si>
    <t>09.015.0330-A</t>
  </si>
  <si>
    <t>09.015.0328-A</t>
  </si>
  <si>
    <t>09.015.0326-A</t>
  </si>
  <si>
    <t>09.015.0314-A</t>
  </si>
  <si>
    <t>PLANTIO DE GRAMA EM PLACAS,TIPO SAO CARLOS,BATATAIS,LARGA E SANTO AGOSTINHO,INCLUSIVE COMPRA E ARRANCAMENTO NO LOCAL DE ORIGEM,CARGA,TRANSPORTE,DESCARGA E PREPARO DO TERRENO (OBS.:3%-DESGASTE DE FERRAMENTAS E EPI).</t>
  </si>
  <si>
    <t>05.001.0170-A</t>
  </si>
  <si>
    <t>20.105.0005-A</t>
  </si>
  <si>
    <t>1.13</t>
  </si>
  <si>
    <t>1.14</t>
  </si>
  <si>
    <t>4.6</t>
  </si>
  <si>
    <t>6.3</t>
  </si>
  <si>
    <t>6.4</t>
  </si>
  <si>
    <t>6.5</t>
  </si>
  <si>
    <t>6.6</t>
  </si>
  <si>
    <t>6.7</t>
  </si>
  <si>
    <t>8.0</t>
  </si>
  <si>
    <t>8.1</t>
  </si>
  <si>
    <t>8.2</t>
  </si>
  <si>
    <t>8.3</t>
  </si>
  <si>
    <t>8.4</t>
  </si>
  <si>
    <t>8.5</t>
  </si>
  <si>
    <t>TOTAL 8.0</t>
  </si>
  <si>
    <t>PAVIMANTAÇÃO E PAISAGISMO</t>
  </si>
  <si>
    <t>120 DIAS</t>
  </si>
  <si>
    <t>Serviço : Construção de Quadra 18X10 COM ALAMBRADO MOVEL</t>
  </si>
  <si>
    <t>Composição</t>
  </si>
  <si>
    <t>5.17</t>
  </si>
  <si>
    <t>01944</t>
  </si>
  <si>
    <t>MAO-DE-OBRA DE SOLDADOR DA CONSTRUCAO CIVIL, INCLUSIVE ENCARGOS SOCIAIS</t>
  </si>
  <si>
    <t>01943</t>
  </si>
  <si>
    <t>MAO-DE-OBRA DE AJUDANTE DE SOLDADOR, INCLUSIVE ENCARGOS SOCIAIS</t>
  </si>
  <si>
    <t>05.027.0003-0</t>
  </si>
  <si>
    <t>SOLDA DE TOPO,EM TUBOS DE ACO GALVANIZADO NO DIAMETRO DE 3/4",UTILIZANDO CONVERSOR ELETRICO,INCLUSIVE CORTE E/OU CHANFRO DAS EXTREMIDADES (OBS.:3%-DESGASTE DE FERRAMENTAS E EPI).</t>
  </si>
  <si>
    <t>00246</t>
  </si>
  <si>
    <t>ELETRODO P/SOLDA ACO (AWS E-6013), IND.P/TRAB.EM SERRAL., ESTRUT.METAL.TUBUL.CONSTR.EM GERAL E CHAPAS FINAS,ESPES.3,25MM</t>
  </si>
  <si>
    <t>15022</t>
  </si>
  <si>
    <t>19.011.0045-2 RETIFICADOR SOLDA ELETRICA DE 430A (CP)</t>
  </si>
  <si>
    <t>LÂMPADA COMPACTA DE LED 10 W, BASE E27 - FORNECIMENTO E INSTALAÇÃO. AF_11/2017</t>
  </si>
  <si>
    <t>LAMPADA LED 10 W BIVOLT BRANCA, FORMATO TRADICIONAL (BASE E27)</t>
  </si>
  <si>
    <t>SOQUETE DE BAQUELITE BASE E27, PARA LAMPADAS</t>
  </si>
  <si>
    <t>CORTE E SOLDA DE POSTE DE AÇO PARA REDUÇÃO DE ALTURA PARA 3,5M. INCLUSIVE INSTALAÇÃO DE NOVAS LAMPADAS DE LED.</t>
  </si>
  <si>
    <t>20131</t>
  </si>
  <si>
    <t>MAO-DE-OBRA DE SERRALHEIRO DA CONSTRUCAOCIVIL, INCLUSIVE ENCARGOS SOCIAIS DESONERADOS</t>
  </si>
  <si>
    <t>20118</t>
  </si>
  <si>
    <t>MAO-DE-OBRA DE PINTOR, INCLUSIVE ENCARGOS SOCIAIS DESONERADOS</t>
  </si>
  <si>
    <t>20149</t>
  </si>
  <si>
    <t>MAO-DE-OBRA DE TOPOGRAFO A (SERVICO DE CAMPO E ESCRIT.COM RESPONSAB. DIRIGI-LOS), INCLUSIVE ENCARGOS SOCIAIS DESONERADOS</t>
  </si>
  <si>
    <t>30849</t>
  </si>
  <si>
    <t>19.011.0019-E TEODOLITO ELETRONICO COM PRECISAO DE 9S(CI)</t>
  </si>
  <si>
    <t>30848</t>
  </si>
  <si>
    <t>19.011.0019-C TEODOLITO ELETRONICO COM PRECISAO DE 9S(CP)</t>
  </si>
  <si>
    <t>20005</t>
  </si>
  <si>
    <t>MAO-DE-OBRA DE AJUDANTE DE MONTADOR ELETROMECANICO (ILUMINACAO PUBLICA), INCLUSIVE ENCARGOS SOCIAIS DESONERADOS</t>
  </si>
  <si>
    <t>30344</t>
  </si>
  <si>
    <t>12.003.0075-B ALVENARIA TIJ. FURADO 10X20X20CM</t>
  </si>
  <si>
    <t>30523</t>
  </si>
  <si>
    <t>19.004.0080-C GUINDAUTO 3,5T, ALCANCE 5,90M (CP)</t>
  </si>
  <si>
    <t>30415</t>
  </si>
  <si>
    <t>19.004.0004-D CAMINHAO CARROC. FIXA, 7,5T (CF)</t>
  </si>
  <si>
    <t>30269</t>
  </si>
  <si>
    <t>11.002.0034-B LANCAMENTO CONC.S/ARM.3,5M3/H, HORIZ.</t>
  </si>
  <si>
    <t>30246</t>
  </si>
  <si>
    <t>11.001.0005-B CONCRETO FCK 15MPA</t>
  </si>
  <si>
    <t>05.027.0003-A</t>
  </si>
  <si>
    <t>20134</t>
  </si>
  <si>
    <t>MAO-DE-OBRA DE SOLDADOR DA CONSTRUCAO CIVIL, INCLUSIVE ENCARGOS SOCIAIS DESONERADOS</t>
  </si>
  <si>
    <t>20006</t>
  </si>
  <si>
    <t>MAO-DE-OBRA DE AJUDANTE DE SOLDADOR, INCLUSIVE ENCARGOS SOCIAIS DESONERADOS</t>
  </si>
  <si>
    <t>30857</t>
  </si>
  <si>
    <t>19.011.0045-C RETIFICADOR SOLDA ELETRICA DE 430A (CP)</t>
  </si>
  <si>
    <t>30272</t>
  </si>
  <si>
    <t>11.002.0037-B LANCAMENTO CONC.S/ARM.1,0M3/H,HORIZ/VERT</t>
  </si>
  <si>
    <t>30256</t>
  </si>
  <si>
    <t>11.002.0015-B PREPARO CONCR. BETON. 320L; 1,00M3/H</t>
  </si>
  <si>
    <t>09.015.0322-A</t>
  </si>
  <si>
    <t>ORÇAMENTO:  Eng° Patrick Suckow</t>
  </si>
  <si>
    <t>SI00000041598</t>
  </si>
  <si>
    <t>0002731</t>
  </si>
  <si>
    <t>0000420</t>
  </si>
  <si>
    <t>0000857</t>
  </si>
  <si>
    <t>0000937</t>
  </si>
  <si>
    <t>0001062</t>
  </si>
  <si>
    <t>0001096</t>
  </si>
  <si>
    <t>0001539</t>
  </si>
  <si>
    <t>0001892</t>
  </si>
  <si>
    <t>0000406</t>
  </si>
  <si>
    <t>0002685</t>
  </si>
  <si>
    <t>0003379</t>
  </si>
  <si>
    <t>0004346</t>
  </si>
  <si>
    <t>0011267</t>
  </si>
  <si>
    <t>0012034</t>
  </si>
  <si>
    <t>0039176</t>
  </si>
  <si>
    <t>0039210</t>
  </si>
  <si>
    <t>0002392</t>
  </si>
  <si>
    <t>SI00000088316</t>
  </si>
  <si>
    <t>SI00000088264</t>
  </si>
  <si>
    <t>SI00000097635</t>
  </si>
  <si>
    <t>SI00000088260</t>
  </si>
  <si>
    <r>
      <t xml:space="preserve">13.373.0020-A </t>
    </r>
    <r>
      <rPr>
        <b/>
        <sz val="11"/>
        <rFont val="Arial"/>
        <family val="2"/>
      </rPr>
      <t>(MODIFICADO)</t>
    </r>
  </si>
  <si>
    <t>SI00000088309</t>
  </si>
  <si>
    <t>SI00000088262</t>
  </si>
  <si>
    <t>SI00000090587</t>
  </si>
  <si>
    <t>SI00000090587 VIBRADOR DE IMERSÃO, DIÂMETRO DE PONTEIRA 45MM, MOTOR ELÉTRICO TRIFÁSICO POTÊNCIA DE 2 CV - CHI DIURNO. AF_06/2015</t>
  </si>
  <si>
    <t>SI00000090586</t>
  </si>
  <si>
    <t>SI00000090586 VIBRADOR DE IMERSÃO, DIÂMETRO DE PONTEIRA 45MM, MOTOR ELÉTRICO TRIFÁSICO POTÊNCIA DE 2 CV - CHP DIURNO. AF_06/2015</t>
  </si>
  <si>
    <t>SI00000092777</t>
  </si>
  <si>
    <t>0039017</t>
  </si>
  <si>
    <t>0000337</t>
  </si>
  <si>
    <t>SI00000088245</t>
  </si>
  <si>
    <t>SI00000088238</t>
  </si>
  <si>
    <t>SI00000092793</t>
  </si>
  <si>
    <t>SI00000092793 CORTE E DOBRA DE AÇO CA-50, DIÂMETRO DE 8,0 MM, UTILIZADO EM ESTRUTURAS DIVERSAS, EXCETO LAJES. AF_12/2015</t>
  </si>
  <si>
    <r>
      <t xml:space="preserve">SI00000092718 </t>
    </r>
    <r>
      <rPr>
        <b/>
        <sz val="11"/>
        <rFont val="Arial"/>
        <family val="2"/>
      </rPr>
      <t>(MODIFICADO)</t>
    </r>
  </si>
  <si>
    <t>0007696</t>
  </si>
  <si>
    <t>0000335</t>
  </si>
  <si>
    <t>0000333</t>
  </si>
  <si>
    <t>SI00000088315</t>
  </si>
  <si>
    <t>0007158</t>
  </si>
  <si>
    <r>
      <t xml:space="preserve">SI0074244/001 </t>
    </r>
    <r>
      <rPr>
        <b/>
        <sz val="11"/>
        <rFont val="Arial"/>
        <family val="2"/>
      </rPr>
      <t>(MODFICADO)</t>
    </r>
  </si>
  <si>
    <t>HASTE PARA ATERRAMENTO, DE COBRE,NO DIAMETRO DE 5/8"(16MM) E COM COMPRIMENTO DE2,40M</t>
  </si>
  <si>
    <t>SI00000093661</t>
  </si>
  <si>
    <t>0034616</t>
  </si>
  <si>
    <t>0001570</t>
  </si>
  <si>
    <t>SI00000088247</t>
  </si>
  <si>
    <t>SI00000091867</t>
  </si>
  <si>
    <t>0034562</t>
  </si>
  <si>
    <t>0002674</t>
  </si>
  <si>
    <t>SI00000091890</t>
  </si>
  <si>
    <t>0001879</t>
  </si>
  <si>
    <t>SI00000098111</t>
  </si>
  <si>
    <t>0034643</t>
  </si>
  <si>
    <t>SI00000094102</t>
  </si>
  <si>
    <t>SI00000094102 LASTRO DE VALA COM PREPARO DE FUNDO, LARGURA MENOR QUE 1,5 M, COM CAMADA DE AREIA, LANÇAMENTO MANUAL, EM LOCAL COM NÍVEL BAIXO DE INTERFERÊNCIA. AF_06/2016</t>
  </si>
  <si>
    <t>SI00000097610</t>
  </si>
  <si>
    <t>0038194</t>
  </si>
  <si>
    <t>0012295</t>
  </si>
  <si>
    <t>COMPOSIÇÃO</t>
  </si>
  <si>
    <t>SI00000092402</t>
  </si>
  <si>
    <t>0036155</t>
  </si>
  <si>
    <t>0004741</t>
  </si>
  <si>
    <t>0000370</t>
  </si>
  <si>
    <t>SI00000091285</t>
  </si>
  <si>
    <t>SI00000091285 CORTADORA DE PISO COM MOTOR 4 TEMPOS A GASOLINA, POTÊNCIA DE 13 HP, COM DISCO DE CORTE DIAMANTADO SEGMENTADO PARA CONCRETO, DIÂMETRO DE 350 MM, FURO DE 1" (14 X 1") - CHI DIURNO. AF_08/2015</t>
  </si>
  <si>
    <t>SI00000091283</t>
  </si>
  <si>
    <t>SI00000091283 CORTADORA DE PISO COM MOTOR 4 TEMPOS A GASOLINA, POTÊNCIA DE 13 HP, COM DISCO DE CORTE DIAMANTADO SEGMENTADO PARA CONCRETO, DIÂMETRO DE 350 MM, FURO DE 1" (14 X 1") - CHP DIURNO. AF_08/2015</t>
  </si>
  <si>
    <t>SI00000091278</t>
  </si>
  <si>
    <t>SI00000091278 PLACA VIBRATÓRIA REVERSÍVEL COM MOTOR 4 TEMPOS A GASOLINA, FORÇA CENTRÍFUGA DE 25 KN (2500 KGF), POTÊNCIA 5,5 CV - CHI DIURNO. AF_08/2015</t>
  </si>
  <si>
    <t>SI00000091277</t>
  </si>
  <si>
    <t>SI00000091277 PLACA VIBRATÓRIA REVERSÍVEL COM MOTOR 4 TEMPOS A GASOLINA, FORÇA CENTRÍFUGA DE 25 KN (2500 KGF), POTÊNCIA 5,5 CV - CHP DIURNO. AF_08/2015</t>
  </si>
  <si>
    <t>SI00000094275</t>
  </si>
  <si>
    <t>0004059</t>
  </si>
  <si>
    <t>SI00000088629</t>
  </si>
  <si>
    <t>SI00000088629 ARGAMASSA TRAÇO 1:3 (EM VOLUME DE CIMENTO E AREIA MÉDIA ÚMIDA), PREPARO MANUAL. AF_08/2019</t>
  </si>
  <si>
    <t>SI00000072850</t>
  </si>
  <si>
    <t>SI00000005824</t>
  </si>
  <si>
    <t>SI00000005824 CAMINHÃO TOCO, PBT 16.000 KG, CARGA ÚTIL MÁX. 10.685 KG, DIST. ENTRE EIXOS 4,8 M, POTÊNCIA 189 CV, INCLUSIVE CARROCERIA FIXA ABERTA DE MADEIRA P/ TRANSPORTE GERAL DE CARGA SECA, DIMEN. APROX. 2,5 X 7,00 X 0,50 M - CHP DIURNO. AF_06/2014</t>
  </si>
  <si>
    <t>SI00000072840</t>
  </si>
  <si>
    <t>SI00000072898</t>
  </si>
  <si>
    <t>SI00000005940</t>
  </si>
  <si>
    <t>SI00000005940 PÁ CARREGADEIRA SOBRE RODAS, POTÊNCIA LÍQUIDA 128 HP, CAPACIDADE DA CAÇAMBA 1,7 A 2,8 M3, PESO OPERACIONAL 11632 KG - CHP DIURNO. AF_06/2014</t>
  </si>
  <si>
    <t>SI00000005811</t>
  </si>
  <si>
    <t>SI00000005811 CAMINHÃO BASCULANTE 6 M3, PESO BRUTO TOTAL 16.000 KG, CARGA ÚTIL MÁXIMA 13.071 KG, DISTÂNCIA ENTRE EIXOS 4,80 M, POTÊNCIA 230 CV INCLUSIVE CAÇAMBA METÁLICA - CHP DIURNO. AF_06/2014</t>
  </si>
  <si>
    <t>SI00000097914</t>
  </si>
  <si>
    <t>SI00000067827</t>
  </si>
  <si>
    <t>SI00000067827 CAMINHÃO BASCULANTE 6 M3 TOCO, PESO BRUTO TOTAL 16.000 KG, CARGA ÚTIL MÁXIMA 11.130 KG, DISTÂNCIA ENTRE EIXOS 5,36 M, POTÊNCIA 185 CV, INCLUSIVE CAÇAMBA METÁLICA - CHI DIURNO. AF_06/2014</t>
  </si>
  <si>
    <t>SI00000067826</t>
  </si>
  <si>
    <t>SI00000067826 CAMINHÃO BASCULANTE 6 M3 TOCO, PESO BRUTO TOTAL 16.000 KG, CARGA ÚTIL MÁXIMA 11.130 KG, DISTÂNCIA ENTRE EIXOS 5,36 M, POTÊNCIA 185 CV, INCLUSIVE CAÇAMBA METÁLICA - CHP DIURNO. AF_06/2014</t>
  </si>
  <si>
    <t>DATA:06/01/2020</t>
  </si>
  <si>
    <r>
      <t>Data-Base:   EMOP -  RJ / SINAPI e SCO-RJ-</t>
    </r>
    <r>
      <rPr>
        <b/>
        <sz val="12"/>
        <color indexed="8"/>
        <rFont val="Arial"/>
        <family val="2"/>
      </rPr>
      <t xml:space="preserve"> Deso</t>
    </r>
    <r>
      <rPr>
        <b/>
        <sz val="12"/>
        <color indexed="8"/>
        <rFont val="Arial"/>
        <family val="2"/>
      </rPr>
      <t>nerado -</t>
    </r>
    <r>
      <rPr>
        <sz val="12"/>
        <color indexed="8"/>
        <rFont val="Arial"/>
        <family val="2"/>
      </rPr>
      <t xml:space="preserve"> Base SETEMBRO - 2019</t>
    </r>
  </si>
  <si>
    <t>Data-Base:   EMOP -  RJ / SINAPI e SCO-RJ-  Desonerado - Base SETEMBRO - 2019</t>
  </si>
  <si>
    <t>So00000041598</t>
  </si>
  <si>
    <t>So0002392</t>
  </si>
  <si>
    <t>So0000857</t>
  </si>
  <si>
    <t>So0000937</t>
  </si>
  <si>
    <t>So0000406</t>
  </si>
  <si>
    <t>So0000420</t>
  </si>
  <si>
    <t>So0001062</t>
  </si>
  <si>
    <t>So0001096</t>
  </si>
  <si>
    <t>So0001892</t>
  </si>
  <si>
    <t>So0039210</t>
  </si>
  <si>
    <t>So0002685</t>
  </si>
  <si>
    <t>So0002731</t>
  </si>
  <si>
    <t>So0003379</t>
  </si>
  <si>
    <t>So0004346</t>
  </si>
  <si>
    <t>So0011267</t>
  </si>
  <si>
    <t>So0012034</t>
  </si>
  <si>
    <t>So0039176</t>
  </si>
  <si>
    <t>So0001539</t>
  </si>
  <si>
    <t>So00000088264</t>
  </si>
  <si>
    <t>So00000088316</t>
  </si>
  <si>
    <t>So00000097635</t>
  </si>
  <si>
    <t>So00000088260</t>
  </si>
  <si>
    <t>13.373.0020-0</t>
  </si>
  <si>
    <t>So00000092718</t>
  </si>
  <si>
    <t>So0034493</t>
  </si>
  <si>
    <t>CONCRETO USINADO BOMBEAVEL, CLASSE DE RESISTENCIA C25, COM BRITA 0 E 1, SLUMP = 100 +/- 20 MM, EXCLUI SERVICO DE BOMBEAMENTO (NBR 8953)</t>
  </si>
  <si>
    <t>So00000088309</t>
  </si>
  <si>
    <t>So00000088262</t>
  </si>
  <si>
    <t>So00000090587</t>
  </si>
  <si>
    <t>So00000090587 VIBRADOR DE IMERSÃO, DIÂMETRO DE PONTEIRA 45MM, MOTOR ELÉTRICO TRIFÁSICO POTÊNCIA DE 2 CV - CHI DIURNO. AF_06/2015</t>
  </si>
  <si>
    <t>So00000090586</t>
  </si>
  <si>
    <t>So00000090586 VIBRADOR DE IMERSÃO, DIÂMETRO DE PONTEIRA 45MM, MOTOR ELÉTRICO TRIFÁSICO POTÊNCIA DE 2 CV - CHP DIURNO. AF_06/2015</t>
  </si>
  <si>
    <t>So00000092777</t>
  </si>
  <si>
    <t>So0039017</t>
  </si>
  <si>
    <t>So0000337</t>
  </si>
  <si>
    <t>So00000088245</t>
  </si>
  <si>
    <t>So00000088238</t>
  </si>
  <si>
    <t>So00000092793</t>
  </si>
  <si>
    <t>So00000092793 CORTE E DOBRA DE AÇO CA-50, DIÂMETRO DE 8,0 MM, UTILIZADO EM ESTRUTURAS DIVERSAS, EXCETO LAJES. AF_12/2015</t>
  </si>
  <si>
    <t>So0074244/001</t>
  </si>
  <si>
    <t>So0007696</t>
  </si>
  <si>
    <t>So0000335</t>
  </si>
  <si>
    <t>So0000333</t>
  </si>
  <si>
    <t>So00000088315</t>
  </si>
  <si>
    <t>So00000093661</t>
  </si>
  <si>
    <t>So0034616</t>
  </si>
  <si>
    <t>So0001570</t>
  </si>
  <si>
    <t>So00000088247</t>
  </si>
  <si>
    <t>So00000091867</t>
  </si>
  <si>
    <t>So0034562</t>
  </si>
  <si>
    <t>So0002674</t>
  </si>
  <si>
    <t>So00000091890</t>
  </si>
  <si>
    <t>So0001879</t>
  </si>
  <si>
    <t>So00000098111</t>
  </si>
  <si>
    <t>So0034643</t>
  </si>
  <si>
    <t>So00000094102</t>
  </si>
  <si>
    <t>So00000094102 LASTRO DE VALA COM PREPARO DE FUNDO, LARGURA MENOR QUE 1,5 M, COM CAMADA DE AREIA, LANÇAMENTO MANUAL, EM LOCAL COM NÍVEL BAIXO DE INTERFERÊNCIA. AF_06/2016</t>
  </si>
  <si>
    <t>So00000097610</t>
  </si>
  <si>
    <t>So0038194</t>
  </si>
  <si>
    <t>So0012295</t>
  </si>
  <si>
    <t>So00000092402</t>
  </si>
  <si>
    <t>So0036155</t>
  </si>
  <si>
    <t>So0004741</t>
  </si>
  <si>
    <t>So0000370</t>
  </si>
  <si>
    <t>So00000091285</t>
  </si>
  <si>
    <t>So00000091285 CORTADORA DE PISO COM MOTOR 4 TEMPOS A GASOLINA, POTÊNCIA DE 13 HP, COM DISCO DE CORTE DIAMANTADO SEGMENTADO PARA CONCRETO, DIÂMETRO DE 350 MM, FURO DE 1" (14 X 1") - CHI DIURNO. AF_08/2015</t>
  </si>
  <si>
    <t>So00000091283</t>
  </si>
  <si>
    <t>So00000091283 CORTADORA DE PISO COM MOTOR 4 TEMPOS A GASOLINA, POTÊNCIA DE 13 HP, COM DISCO DE CORTE DIAMANTADO SEGMENTADO PARA CONCRETO, DIÂMETRO DE 350 MM, FURO DE 1" (14 X 1") - CHP DIURNO. AF_08/2015</t>
  </si>
  <si>
    <t>So00000091278</t>
  </si>
  <si>
    <t>So00000091278 PLACA VIBRATÓRIA REVERSÍVEL COM MOTOR 4 TEMPOS A GASOLINA, FORÇA CENTRÍFUGA DE 25 KN (2500 KGF), POTÊNCIA 5,5 CV - CHI DIURNO. AF_08/2015</t>
  </si>
  <si>
    <t>So00000091277</t>
  </si>
  <si>
    <t>So00000091277 PLACA VIBRATÓRIA REVERSÍVEL COM MOTOR 4 TEMPOS A GASOLINA, FORÇA CENTRÍFUGA DE 25 KN (2500 KGF), POTÊNCIA 5,5 CV - CHP DIURNO. AF_08/2015</t>
  </si>
  <si>
    <t>So00000094275</t>
  </si>
  <si>
    <t>So0004059</t>
  </si>
  <si>
    <t>So00000088629</t>
  </si>
  <si>
    <t>So00000088629 ARGAMASSA TRAÇO 1:3 (EM VOLUME DE CIMENTO E AREIA MÉDIA ÚMIDA), PREPARO MANUAL. AF_08/2019</t>
  </si>
  <si>
    <t>09.001.0001-1</t>
  </si>
  <si>
    <t>So00000072850</t>
  </si>
  <si>
    <t>So00000005824</t>
  </si>
  <si>
    <t>So00000005824 CAMINHÃO TOCO, PBT 16.000 KG, CARGA ÚTIL MÁX. 10.685 KG, DIST. ENTRE EIXOS 4,8 M, POTÊNCIA 189 CV, INCLUSIVE CARROCERIA FIXA ABERTA DE MADEIRA P/ TRANSPORTE GERAL DE CARGA SECA, DIMEN. APROX. 2,5 X 7,00 X 0,50 M - CHP DIURNO. AF_06/2014</t>
  </si>
  <si>
    <t>So00000072840</t>
  </si>
  <si>
    <t>So00000072898</t>
  </si>
  <si>
    <t>So00000005940</t>
  </si>
  <si>
    <t>So00000005940 PÁ CARREGADEIRA SOBRE RODAS, POTÊNCIA LÍQUIDA 128 HP, CAPACIDADE DA CAÇAMBA 1,7 A 2,8 M3, PESO OPERACIONAL 11632 KG - CHP DIURNO. AF_06/2014</t>
  </si>
  <si>
    <t>So00000005811</t>
  </si>
  <si>
    <t>So00000005811 CAMINHÃO BASCULANTE 6 M3, PESO BRUTO TOTAL 16.000 KG, CARGA ÚTIL MÁXIMA 13.071 KG, DISTÂNCIA ENTRE EIXOS 4,80 M, POTÊNCIA 230 CV INCLUSIVE CAÇAMBA METÁLICA - CHP DIURNO. AF_06/2014</t>
  </si>
  <si>
    <t>So00000097914</t>
  </si>
  <si>
    <t>So00000067827</t>
  </si>
  <si>
    <t>So00000067827 CAMINHÃO BASCULANTE 6 M3 TOCO, PESO BRUTO TOTAL 16.000 KG, CARGA ÚTIL MÁXIMA 11.130 KG, DISTÂNCIA ENTRE EIXOS 5,36 M, POTÊNCIA 185 CV, INCLUSIVE CAÇAMBA METÁLICA - CHI DIURNO. AF_06/2014</t>
  </si>
  <si>
    <t>So00000067826</t>
  </si>
  <si>
    <t>So00000067826 CAMINHÃO BASCULANTE 6 M3 TOCO, PESO BRUTO TOTAL 16.000 KG, CARGA ÚTIL MÁXIMA 11.130 KG, DISTÂNCIA ENTRE EIXOS 5,36 M, POTÊNCIA 185 CV, INCLUSIVE CAÇAMBA METÁLICA - CHP DIURNO. AF_06/2014</t>
  </si>
  <si>
    <t>1.15</t>
  </si>
  <si>
    <t>05.001.0001-0</t>
  </si>
  <si>
    <t>01.001.0077-0</t>
  </si>
  <si>
    <t>1.16</t>
  </si>
  <si>
    <r>
      <t xml:space="preserve">DEMOLICAO MANUAL DE CONCRETO SIMPLES COM EMPILHAMENTO LATERAL DENTRO DO CANTEIRO DE SERVICO (OBS.:3%-DESGASTE DE FERRAMENTAS E EPI). </t>
    </r>
    <r>
      <rPr>
        <b/>
        <sz val="11"/>
        <rFont val="Arial"/>
        <family val="2"/>
      </rPr>
      <t>(BASE DE ATI)</t>
    </r>
  </si>
  <si>
    <r>
      <t xml:space="preserve">PERFURACAO MANUAL DE SOLO,A TRADO ATE 10" (OBS.:3% - DESGASTE DE FERRAMENTAS E EPI). </t>
    </r>
    <r>
      <rPr>
        <b/>
        <sz val="11"/>
        <rFont val="Arial"/>
        <family val="2"/>
      </rPr>
      <t>(FUNDAÇÃO DE ATI)</t>
    </r>
  </si>
  <si>
    <r>
      <t xml:space="preserve">PERFURACAO MANUAL DE SOLO,A TRADO ATE 10" (OBS.:3% - DESGASTE DE FERRAMENTAS E EPI). </t>
    </r>
    <r>
      <rPr>
        <b/>
        <sz val="11"/>
        <rFont val="Arial"/>
        <family val="2"/>
      </rPr>
      <t>(FUNDAÇÃO DE ATI).</t>
    </r>
  </si>
  <si>
    <t>So0004517</t>
  </si>
  <si>
    <t>SARRAFO DE MADEIRA NAO APARELHADA *2,5 X 7,5* CM (1 X 3 ") PINUS, MISTA OU EQUIVALENTE DA REGIAO</t>
  </si>
  <si>
    <t>So0004460</t>
  </si>
  <si>
    <t>SARRAFO DE MADEIRA NAO APARELHADA *2,5 X 10 CM, MACARANDUBA, ANGELIM OU EQUIVALENTE DA REGIAO</t>
  </si>
  <si>
    <t>So0003777</t>
  </si>
  <si>
    <t>LONA PLASTICA PRETA, E= 150 MICRA</t>
  </si>
  <si>
    <t>So00000094964</t>
  </si>
  <si>
    <t>So00000094964 CONCRETO FCK = 20MPA, TRAÇO 1:2,7:3 (CIMENTO/ AREIA MÉDIA/ BRITA 1)  - PREPARO MECÂNICO COM BETONEIRA 400 L. AF_07/2016</t>
  </si>
  <si>
    <t>2.7</t>
  </si>
  <si>
    <t>0010917</t>
  </si>
  <si>
    <t>TELA DE ACO SOLDADA NERVURADA CA-60, Q-61, (0,97 KG/M2), DIAMETRO DO FIO = 3,4 MM, LARGURA =  2,45 X 120 M DE COMPRIMENTO, ESPACAMENTO DA MALHA = 15 X 15 CM</t>
  </si>
  <si>
    <r>
      <t xml:space="preserve">So00000094996 </t>
    </r>
    <r>
      <rPr>
        <b/>
        <sz val="11"/>
        <rFont val="Arial"/>
        <family val="2"/>
      </rPr>
      <t>(MODIFICADO)</t>
    </r>
  </si>
  <si>
    <t>2.8</t>
  </si>
  <si>
    <t>CONCRETO FCK = 20MPA, TRAÇO 1:2,7:3 (CIMENTO/ AREIA MÉDIA/ BRITA 1)  - PREPARO MECÂNICO COM BETONEIRA 400 L. AF_07/2016</t>
  </si>
  <si>
    <r>
      <t xml:space="preserve">So00000092718 </t>
    </r>
    <r>
      <rPr>
        <b/>
        <sz val="11"/>
        <rFont val="Arial"/>
        <family val="2"/>
      </rPr>
      <t>(MODIFICADO)</t>
    </r>
  </si>
  <si>
    <r>
      <t xml:space="preserve">EXECUÇÃO DE PASSEIO (CALÇADA) OU PISO DE CONCRETO COM CONCRETO MOLDADO IN LOCO, FEITO EM OBRA, ACABAMENTO CONVENCIONAL, ESPESSURA 10 CM, ARMADO. AF_07/2016  </t>
    </r>
    <r>
      <rPr>
        <b/>
        <sz val="11"/>
        <rFont val="Arial"/>
        <family val="2"/>
      </rPr>
      <t>(BASE ATI)</t>
    </r>
  </si>
  <si>
    <r>
      <t xml:space="preserve">CONCRETAGEM DE PILARES, FCK = 25 MPA,  COM USO DE BALDES EM EDIFICAÇÃO COM SEÇÃO MÉDIA DE PILARES MENOR OU IGUAL A 0,25 M² - LANÇAMENTO, ADENSAMENTO E ACABAMENTO. AF_12/2015 </t>
    </r>
    <r>
      <rPr>
        <b/>
        <sz val="11"/>
        <rFont val="Arial"/>
        <family val="2"/>
      </rPr>
      <t>(FUNDAÇÃO DE BASES DE ATI)</t>
    </r>
  </si>
  <si>
    <t>8.6</t>
  </si>
  <si>
    <t>05.001.0001-A</t>
  </si>
  <si>
    <t>01.001.0077-A</t>
  </si>
  <si>
    <t>0004517</t>
  </si>
  <si>
    <t>0004460</t>
  </si>
  <si>
    <t>0003777</t>
  </si>
  <si>
    <t>SI00000094964</t>
  </si>
  <si>
    <t>SI00000094964 CONCRETO FCK = 20MPA, TRAÇO 1:2,7:3 (CIMENTO/ AREIA MÉDIA/ BRITA 1)  - PREPARO MECÂNICO COM BETONEIRA 400 L. AF_07/2016</t>
  </si>
  <si>
    <r>
      <t xml:space="preserve">SI00000094996 </t>
    </r>
    <r>
      <rPr>
        <b/>
        <sz val="11"/>
        <rFont val="Arial"/>
        <family val="2"/>
      </rPr>
      <t>(MODIFICADO)</t>
    </r>
  </si>
  <si>
    <r>
      <t xml:space="preserve">EXECUÇÃO DE PASSEIO (CALÇADA) OU PISO DE CONCRETO COM CONCRETO MOLDADO IN LOCO, FEITO EM OBRA, ACABAMENTO CONVENCIONAL, ESPESSURA 10 CM, ARMADO. AF_07/2016 </t>
    </r>
    <r>
      <rPr>
        <b/>
        <sz val="11"/>
        <rFont val="Arial"/>
        <family val="2"/>
      </rPr>
      <t>(BASE DE ATI)</t>
    </r>
  </si>
  <si>
    <r>
      <t xml:space="preserve">CONCRETAGEM DE PILARES, FCK = 25 MPA,  COM USO DE BALDES EM EDIFICAÇÃO COM SEÇÃO MÉDIA DE PILARES MENOR OU IGUAL A 0,25 M² - LANÇAMENTO, ADENSAMENTO E ACABAMENTO. AF_12/2015 </t>
    </r>
    <r>
      <rPr>
        <b/>
        <sz val="11"/>
        <rFont val="Arial"/>
        <family val="2"/>
      </rPr>
      <t>(FUNDAÇÃO DE BASE DE ATI)</t>
    </r>
  </si>
  <si>
    <r>
      <t xml:space="preserve">DEMOLIÇÃO DE PAVIMENTO INTERTRAVADO, DE FORMA MANUAL, COM REAPROVEITAMENTO. AF_12/2017 </t>
    </r>
    <r>
      <rPr>
        <b/>
        <sz val="11"/>
        <rFont val="Arial"/>
        <family val="2"/>
      </rPr>
      <t>(ÁREA DE CONSTRUÇÃO DE QUADRA)</t>
    </r>
  </si>
  <si>
    <r>
      <t xml:space="preserve">DEMOLIÇÃO DE PAVIMENTO INTERTRAVADO, DE FORMA MANUAL, COM REAPROVEITAMENTO. AF_12/2017 </t>
    </r>
    <r>
      <rPr>
        <b/>
        <sz val="11"/>
        <rFont val="Arial"/>
        <family val="2"/>
      </rPr>
      <t>(ALTERAÇÃO EM PASSEIO E CANTEIROS DA PRAÇA)</t>
    </r>
  </si>
  <si>
    <r>
      <t xml:space="preserve">ARRANCAMENTO DE MEIOS-FIOS,DE GRANITO OU CONCRETO,RETOS OU CURVOS,INCLUSIVE EMPILHAMENTO LATERAL DENTRO DO CANTEIRO DE S ERVICO (OBS.:3%-DESGASTE DE FERRAMENTAS E EPI). </t>
    </r>
    <r>
      <rPr>
        <b/>
        <sz val="11"/>
        <rFont val="Arial"/>
        <family val="2"/>
      </rPr>
      <t>(ÁREA DE CONSTRUÇÃO DE QUADRA)</t>
    </r>
  </si>
  <si>
    <r>
      <t>ARRANCAMENTO DE MEIOS-FIOS,DE GRANITO OU CONCRETO,RETOS OU CURVOS,INCLUSIVE EMPILHAMENTO LATERAL DENTRO DO CANTEIRO DE S ERVICO (OBS.:3%-DESGASTE DE FERRAMENTAS E EPI).</t>
    </r>
    <r>
      <rPr>
        <b/>
        <sz val="11"/>
        <rFont val="Arial"/>
        <family val="2"/>
      </rPr>
      <t>(ALTERAÇÃO EM PASSEIO E CANTEIROS DA PRAÇA)</t>
    </r>
  </si>
  <si>
    <r>
      <t xml:space="preserve">PINTURA COM TINTA LATEX SEMIBRILHANTE,FOSCA OU ACETINADA,CLASSIFICACAO PREMIUM OU STANDARD (NBR 15079),PARA INTERIOR E E XTERIOR,BRANCA OU COLORIDA,SOBRE TIJOLO,CONCRETO LISO,CIMENTO SEM AMIANTO,E REVESTIMENTO,INCLUSIVE LIXAMENTO,UMA DEMAO D E SELADOR ACRILICO E DUAS DEMAOS DE ACABAMENTO (OBS.:3%-DESGASTE DE FERRAMENTAS E EPI). </t>
    </r>
    <r>
      <rPr>
        <b/>
        <sz val="11"/>
        <rFont val="Arial"/>
        <family val="2"/>
      </rPr>
      <t>(BANCOS E MESAS DE PING-PONG)</t>
    </r>
  </si>
  <si>
    <r>
      <t xml:space="preserve">TRANSPORTE COM CAMINHÃO BASCULANTE DE 6 M3, EM VIA URBANA PAVIMENTADA, DMT ATÉ 30 KM (UNIDADE: M3XKM). AF_01/2018 </t>
    </r>
    <r>
      <rPr>
        <b/>
        <sz val="11"/>
        <rFont val="Arial"/>
        <family val="2"/>
      </rPr>
      <t>(RETIRADA DE TERRA CONSIDERANDO 10KM)</t>
    </r>
  </si>
  <si>
    <t>PLANILHA ORÇAMENTÁRIA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</si>
</sst>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00"/>
    <numFmt numFmtId="165" formatCode="#,##0.00000"/>
    <numFmt numFmtId="166" formatCode="0.0%"/>
    <numFmt numFmtId="167" formatCode="_([$€]* #,##0.00_);_([$€]* \(#,##0.00\);_([$€]* &quot;-&quot;??_);_(@_)"/>
    <numFmt numFmtId="168" formatCode="_(* #,##0.00_);_(* \(#,##0.00\);_(* &quot;-&quot;??_);_(@_)"/>
    <numFmt numFmtId="169" formatCode="&quot;Sim&quot;;&quot;Sim&quot;;&quot;Não&quot;"/>
    <numFmt numFmtId="170" formatCode="&quot;Verdadeiro&quot;;&quot;Verdadeiro&quot;;&quot;Falso&quot;"/>
    <numFmt numFmtId="171" formatCode="&quot;Ativado&quot;;&quot;Ativado&quot;;&quot;Desativado&quot;"/>
    <numFmt numFmtId="172" formatCode="[$€-2]\ #,##0.00_);[Red]\([$€-2]\ #,##0.00\)"/>
    <numFmt numFmtId="173" formatCode="#,##0.00_ ;\-#,##0.00\ "/>
    <numFmt numFmtId="174" formatCode="0.0"/>
    <numFmt numFmtId="175" formatCode="0.000"/>
    <numFmt numFmtId="176" formatCode="0.0000"/>
    <numFmt numFmtId="177" formatCode="0.00000"/>
    <numFmt numFmtId="178" formatCode="0.000000"/>
    <numFmt numFmtId="179" formatCode="0.0000000"/>
    <numFmt numFmtId="180" formatCode="0.00000000"/>
    <numFmt numFmtId="181" formatCode="0.000000000"/>
    <numFmt numFmtId="182" formatCode="0.0000000000"/>
    <numFmt numFmtId="183" formatCode="0.00000000000"/>
    <numFmt numFmtId="184" formatCode="0.000000000000"/>
    <numFmt numFmtId="185" formatCode="0.0000000000000"/>
    <numFmt numFmtId="186" formatCode="0.00000000000000"/>
    <numFmt numFmtId="187" formatCode="mmm/yyyy"/>
    <numFmt numFmtId="188" formatCode="&quot;R$&quot;\ #,##0.00"/>
    <numFmt numFmtId="189" formatCode="#,##0.0"/>
    <numFmt numFmtId="190" formatCode="_ * #,##0.00_ ;_ * \-#,##0.00_ ;_ * &quot;-&quot;??_ ;_ @_ 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Switzerland"/>
      <family val="0"/>
    </font>
    <font>
      <sz val="2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20"/>
      <color indexed="10"/>
      <name val="Arial"/>
      <family val="2"/>
    </font>
    <font>
      <sz val="11"/>
      <name val="Switzerland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5"/>
      <color indexed="56"/>
      <name val="Calibri"/>
      <family val="2"/>
    </font>
    <font>
      <sz val="10"/>
      <name val="Times New Roman"/>
      <family val="1"/>
    </font>
    <font>
      <b/>
      <sz val="15"/>
      <color indexed="48"/>
      <name val="Calibri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8" fillId="21" borderId="5" applyNumberFormat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5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10" applyNumberFormat="0" applyFill="0" applyAlignment="0" applyProtection="0"/>
    <xf numFmtId="43" fontId="0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79">
    <xf numFmtId="0" fontId="0" fillId="0" borderId="0" xfId="0" applyFont="1" applyAlignment="1">
      <alignment/>
    </xf>
    <xf numFmtId="0" fontId="0" fillId="0" borderId="0" xfId="0" applyAlignment="1">
      <alignment horizontal="justify" vertical="justify" wrapText="1"/>
    </xf>
    <xf numFmtId="49" fontId="56" fillId="33" borderId="11" xfId="65" applyNumberFormat="1" applyFont="1" applyFill="1" applyBorder="1" applyAlignment="1">
      <alignment horizontal="center"/>
      <protection/>
    </xf>
    <xf numFmtId="49" fontId="56" fillId="33" borderId="12" xfId="59" applyNumberFormat="1" applyFont="1" applyFill="1" applyBorder="1">
      <alignment/>
      <protection/>
    </xf>
    <xf numFmtId="4" fontId="56" fillId="33" borderId="12" xfId="59" applyNumberFormat="1" applyFont="1" applyFill="1" applyBorder="1" applyAlignment="1">
      <alignment horizontal="left" readingOrder="1"/>
      <protection/>
    </xf>
    <xf numFmtId="4" fontId="56" fillId="33" borderId="11" xfId="66" applyNumberFormat="1" applyFont="1" applyFill="1" applyBorder="1" applyAlignment="1">
      <alignment horizontal="left" vertical="center"/>
      <protection/>
    </xf>
    <xf numFmtId="4" fontId="56" fillId="33" borderId="12" xfId="0" applyNumberFormat="1" applyFont="1" applyFill="1" applyBorder="1" applyAlignment="1">
      <alignment horizontal="left"/>
    </xf>
    <xf numFmtId="4" fontId="56" fillId="33" borderId="12" xfId="65" applyNumberFormat="1" applyFont="1" applyFill="1" applyBorder="1" applyAlignment="1">
      <alignment horizontal="left"/>
      <protection/>
    </xf>
    <xf numFmtId="4" fontId="56" fillId="33" borderId="13" xfId="65" applyNumberFormat="1" applyFont="1" applyFill="1" applyBorder="1" applyAlignment="1">
      <alignment horizontal="left"/>
      <protection/>
    </xf>
    <xf numFmtId="49" fontId="56" fillId="33" borderId="14" xfId="65" applyNumberFormat="1" applyFont="1" applyFill="1" applyBorder="1" applyAlignment="1">
      <alignment horizontal="center"/>
      <protection/>
    </xf>
    <xf numFmtId="49" fontId="56" fillId="33" borderId="0" xfId="59" applyNumberFormat="1" applyFont="1" applyFill="1" applyBorder="1">
      <alignment/>
      <protection/>
    </xf>
    <xf numFmtId="4" fontId="56" fillId="33" borderId="0" xfId="59" applyNumberFormat="1" applyFont="1" applyFill="1" applyBorder="1" applyAlignment="1">
      <alignment horizontal="left" readingOrder="1"/>
      <protection/>
    </xf>
    <xf numFmtId="4" fontId="56" fillId="33" borderId="14" xfId="66" applyNumberFormat="1" applyFont="1" applyFill="1" applyBorder="1" applyAlignment="1">
      <alignment horizontal="left" vertical="center"/>
      <protection/>
    </xf>
    <xf numFmtId="4" fontId="56" fillId="33" borderId="0" xfId="65" applyNumberFormat="1" applyFont="1" applyFill="1" applyBorder="1" applyAlignment="1">
      <alignment horizontal="left"/>
      <protection/>
    </xf>
    <xf numFmtId="4" fontId="56" fillId="33" borderId="0" xfId="59" applyNumberFormat="1" applyFont="1" applyFill="1" applyBorder="1" applyAlignment="1">
      <alignment horizontal="left"/>
      <protection/>
    </xf>
    <xf numFmtId="4" fontId="56" fillId="33" borderId="15" xfId="59" applyNumberFormat="1" applyFont="1" applyFill="1" applyBorder="1" applyAlignment="1">
      <alignment horizontal="left"/>
      <protection/>
    </xf>
    <xf numFmtId="4" fontId="57" fillId="33" borderId="0" xfId="59" applyNumberFormat="1" applyFont="1" applyFill="1" applyBorder="1" applyAlignment="1">
      <alignment vertical="center" wrapText="1" readingOrder="1"/>
      <protection/>
    </xf>
    <xf numFmtId="4" fontId="57" fillId="33" borderId="0" xfId="59" applyNumberFormat="1" applyFont="1" applyFill="1" applyBorder="1">
      <alignment/>
      <protection/>
    </xf>
    <xf numFmtId="49" fontId="56" fillId="33" borderId="16" xfId="65" applyNumberFormat="1" applyFont="1" applyFill="1" applyBorder="1" applyAlignment="1">
      <alignment horizontal="center"/>
      <protection/>
    </xf>
    <xf numFmtId="49" fontId="56" fillId="33" borderId="17" xfId="66" applyNumberFormat="1" applyFont="1" applyFill="1" applyBorder="1" applyAlignment="1">
      <alignment horizontal="center"/>
      <protection/>
    </xf>
    <xf numFmtId="4" fontId="57" fillId="33" borderId="17" xfId="66" applyNumberFormat="1" applyFont="1" applyFill="1" applyBorder="1" applyAlignment="1">
      <alignment/>
      <protection/>
    </xf>
    <xf numFmtId="0" fontId="4" fillId="0" borderId="13" xfId="62" applyFont="1" applyBorder="1">
      <alignment/>
      <protection/>
    </xf>
    <xf numFmtId="0" fontId="4" fillId="0" borderId="0" xfId="62" applyFont="1">
      <alignment/>
      <protection/>
    </xf>
    <xf numFmtId="0" fontId="7" fillId="0" borderId="0" xfId="62">
      <alignment/>
      <protection/>
    </xf>
    <xf numFmtId="0" fontId="4" fillId="0" borderId="15" xfId="62" applyFont="1" applyBorder="1">
      <alignment/>
      <protection/>
    </xf>
    <xf numFmtId="0" fontId="4" fillId="0" borderId="18" xfId="62" applyFont="1" applyBorder="1">
      <alignment/>
      <protection/>
    </xf>
    <xf numFmtId="0" fontId="10" fillId="0" borderId="19" xfId="62" applyFont="1" applyBorder="1" applyAlignment="1">
      <alignment horizontal="center"/>
      <protection/>
    </xf>
    <xf numFmtId="0" fontId="7" fillId="0" borderId="0" xfId="62" applyBorder="1">
      <alignment/>
      <protection/>
    </xf>
    <xf numFmtId="0" fontId="10" fillId="0" borderId="20" xfId="62" applyFont="1" applyBorder="1" applyAlignment="1">
      <alignment horizontal="center"/>
      <protection/>
    </xf>
    <xf numFmtId="0" fontId="10" fillId="0" borderId="13" xfId="62" applyFont="1" applyBorder="1" applyAlignment="1">
      <alignment horizontal="center"/>
      <protection/>
    </xf>
    <xf numFmtId="0" fontId="9" fillId="0" borderId="21" xfId="63" applyFont="1" applyFill="1" applyBorder="1" applyAlignment="1">
      <alignment vertical="top"/>
      <protection/>
    </xf>
    <xf numFmtId="39" fontId="8" fillId="0" borderId="21" xfId="62" applyNumberFormat="1" applyFont="1" applyBorder="1" applyAlignment="1">
      <alignment/>
      <protection/>
    </xf>
    <xf numFmtId="0" fontId="8" fillId="0" borderId="0" xfId="62" applyFont="1">
      <alignment/>
      <protection/>
    </xf>
    <xf numFmtId="0" fontId="9" fillId="0" borderId="19" xfId="65" applyFont="1" applyFill="1" applyBorder="1" applyAlignment="1">
      <alignment vertical="top"/>
      <protection/>
    </xf>
    <xf numFmtId="0" fontId="8" fillId="0" borderId="19" xfId="65" applyFont="1" applyFill="1" applyBorder="1" applyAlignment="1">
      <alignment horizontal="left" vertical="top"/>
      <protection/>
    </xf>
    <xf numFmtId="10" fontId="8" fillId="0" borderId="19" xfId="71" applyNumberFormat="1" applyFont="1" applyFill="1" applyBorder="1" applyAlignment="1">
      <alignment/>
    </xf>
    <xf numFmtId="39" fontId="8" fillId="0" borderId="0" xfId="62" applyNumberFormat="1" applyFont="1">
      <alignment/>
      <protection/>
    </xf>
    <xf numFmtId="0" fontId="8" fillId="0" borderId="19" xfId="65" applyFont="1" applyFill="1" applyBorder="1" applyAlignment="1">
      <alignment horizontal="justify" vertical="justify" wrapText="1"/>
      <protection/>
    </xf>
    <xf numFmtId="0" fontId="11" fillId="0" borderId="19" xfId="65" applyFont="1" applyBorder="1" applyAlignment="1">
      <alignment vertical="top"/>
      <protection/>
    </xf>
    <xf numFmtId="0" fontId="11" fillId="0" borderId="19" xfId="65" applyFont="1" applyBorder="1" applyAlignment="1">
      <alignment horizontal="left" vertical="top"/>
      <protection/>
    </xf>
    <xf numFmtId="0" fontId="12" fillId="0" borderId="0" xfId="62" applyFont="1">
      <alignment/>
      <protection/>
    </xf>
    <xf numFmtId="0" fontId="8" fillId="0" borderId="0" xfId="62" applyFont="1" applyBorder="1">
      <alignment/>
      <protection/>
    </xf>
    <xf numFmtId="4" fontId="8" fillId="0" borderId="0" xfId="62" applyNumberFormat="1" applyFont="1">
      <alignment/>
      <protection/>
    </xf>
    <xf numFmtId="0" fontId="56" fillId="34" borderId="19" xfId="0" applyFont="1" applyFill="1" applyBorder="1" applyAlignment="1">
      <alignment/>
    </xf>
    <xf numFmtId="0" fontId="37" fillId="33" borderId="0" xfId="0" applyFont="1" applyFill="1" applyAlignment="1">
      <alignment horizontal="right"/>
    </xf>
    <xf numFmtId="4" fontId="5" fillId="33" borderId="0" xfId="59" applyNumberFormat="1" applyFont="1" applyFill="1" applyBorder="1" applyAlignment="1">
      <alignment vertical="center" wrapText="1" readingOrder="1"/>
      <protection/>
    </xf>
    <xf numFmtId="4" fontId="6" fillId="33" borderId="0" xfId="66" applyNumberFormat="1" applyFont="1" applyFill="1" applyBorder="1" applyAlignment="1">
      <alignment horizontal="left"/>
      <protection/>
    </xf>
    <xf numFmtId="4" fontId="19" fillId="0" borderId="19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19" fillId="0" borderId="19" xfId="0" applyFont="1" applyBorder="1" applyAlignment="1">
      <alignment horizontal="center" vertical="center"/>
    </xf>
    <xf numFmtId="0" fontId="56" fillId="34" borderId="22" xfId="0" applyFont="1" applyFill="1" applyBorder="1" applyAlignment="1">
      <alignment/>
    </xf>
    <xf numFmtId="0" fontId="56" fillId="34" borderId="23" xfId="0" applyFont="1" applyFill="1" applyBorder="1" applyAlignment="1">
      <alignment/>
    </xf>
    <xf numFmtId="0" fontId="56" fillId="34" borderId="21" xfId="0" applyFont="1" applyFill="1" applyBorder="1" applyAlignment="1">
      <alignment/>
    </xf>
    <xf numFmtId="0" fontId="6" fillId="33" borderId="23" xfId="0" applyFont="1" applyFill="1" applyBorder="1" applyAlignment="1">
      <alignment horizontal="right"/>
    </xf>
    <xf numFmtId="0" fontId="6" fillId="33" borderId="21" xfId="0" applyFont="1" applyFill="1" applyBorder="1" applyAlignment="1">
      <alignment horizontal="right" vertical="justify" wrapText="1"/>
    </xf>
    <xf numFmtId="0" fontId="6" fillId="33" borderId="21" xfId="0" applyFont="1" applyFill="1" applyBorder="1" applyAlignment="1">
      <alignment horizontal="right"/>
    </xf>
    <xf numFmtId="4" fontId="37" fillId="33" borderId="17" xfId="0" applyNumberFormat="1" applyFont="1" applyFill="1" applyBorder="1" applyAlignment="1">
      <alignment horizontal="right"/>
    </xf>
    <xf numFmtId="4" fontId="37" fillId="33" borderId="22" xfId="0" applyNumberFormat="1" applyFont="1" applyFill="1" applyBorder="1" applyAlignment="1">
      <alignment horizontal="right"/>
    </xf>
    <xf numFmtId="4" fontId="6" fillId="33" borderId="21" xfId="0" applyNumberFormat="1" applyFont="1" applyFill="1" applyBorder="1" applyAlignment="1">
      <alignment horizontal="right"/>
    </xf>
    <xf numFmtId="0" fontId="3" fillId="0" borderId="0" xfId="67" applyFont="1" applyFill="1" applyBorder="1" applyAlignment="1">
      <alignment horizontal="center" vertical="center"/>
      <protection/>
    </xf>
    <xf numFmtId="0" fontId="3" fillId="0" borderId="0" xfId="67" applyFont="1" applyFill="1" applyBorder="1" applyAlignment="1">
      <alignment horizontal="center" vertical="center" wrapText="1"/>
      <protection/>
    </xf>
    <xf numFmtId="4" fontId="3" fillId="0" borderId="0" xfId="67" applyNumberFormat="1" applyFont="1" applyFill="1" applyBorder="1" applyAlignment="1">
      <alignment horizontal="center" vertical="center"/>
      <protection/>
    </xf>
    <xf numFmtId="4" fontId="3" fillId="0" borderId="0" xfId="67" applyNumberFormat="1" applyFont="1" applyFill="1" applyBorder="1" applyAlignment="1">
      <alignment horizontal="right"/>
      <protection/>
    </xf>
    <xf numFmtId="4" fontId="3" fillId="0" borderId="0" xfId="68" applyNumberFormat="1" applyFont="1" applyFill="1" applyBorder="1" applyAlignment="1">
      <alignment horizontal="right"/>
      <protection/>
    </xf>
    <xf numFmtId="4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4" fontId="3" fillId="0" borderId="0" xfId="0" applyNumberFormat="1" applyFont="1" applyFill="1" applyBorder="1" applyAlignment="1">
      <alignment horizontal="right" wrapText="1"/>
    </xf>
    <xf numFmtId="0" fontId="3" fillId="0" borderId="0" xfId="67" applyFont="1" applyFill="1" applyBorder="1" applyAlignment="1">
      <alignment horizontal="justify" vertical="justify" wrapText="1"/>
      <protection/>
    </xf>
    <xf numFmtId="4" fontId="3" fillId="0" borderId="0" xfId="67" applyNumberFormat="1" applyFont="1" applyFill="1" applyBorder="1" applyAlignment="1">
      <alignment horizontal="justify" vertical="justify" wrapText="1"/>
      <protection/>
    </xf>
    <xf numFmtId="44" fontId="8" fillId="0" borderId="19" xfId="50" applyFont="1" applyFill="1" applyBorder="1" applyAlignment="1">
      <alignment/>
    </xf>
    <xf numFmtId="10" fontId="8" fillId="35" borderId="19" xfId="71" applyNumberFormat="1" applyFont="1" applyFill="1" applyBorder="1" applyAlignment="1">
      <alignment/>
    </xf>
    <xf numFmtId="4" fontId="8" fillId="35" borderId="20" xfId="56" applyNumberFormat="1" applyFont="1" applyFill="1" applyBorder="1">
      <alignment/>
      <protection/>
    </xf>
    <xf numFmtId="0" fontId="8" fillId="35" borderId="24" xfId="56" applyFont="1" applyFill="1" applyBorder="1">
      <alignment/>
      <protection/>
    </xf>
    <xf numFmtId="166" fontId="9" fillId="35" borderId="24" xfId="71" applyNumberFormat="1" applyFont="1" applyFill="1" applyBorder="1" applyAlignment="1">
      <alignment horizontal="center"/>
    </xf>
    <xf numFmtId="0" fontId="8" fillId="35" borderId="25" xfId="62" applyFont="1" applyFill="1" applyBorder="1">
      <alignment/>
      <protection/>
    </xf>
    <xf numFmtId="44" fontId="9" fillId="0" borderId="19" xfId="50" applyFont="1" applyFill="1" applyBorder="1" applyAlignment="1">
      <alignment/>
    </xf>
    <xf numFmtId="0" fontId="18" fillId="0" borderId="0" xfId="67" applyFont="1" applyFill="1" applyBorder="1" applyAlignment="1">
      <alignment horizontal="justify" vertical="justify" wrapText="1"/>
      <protection/>
    </xf>
    <xf numFmtId="4" fontId="18" fillId="0" borderId="0" xfId="68" applyNumberFormat="1" applyFont="1" applyFill="1" applyBorder="1" applyAlignment="1">
      <alignment horizontal="right"/>
      <protection/>
    </xf>
    <xf numFmtId="4" fontId="18" fillId="0" borderId="0" xfId="0" applyNumberFormat="1" applyFont="1" applyFill="1" applyBorder="1" applyAlignment="1">
      <alignment horizontal="right"/>
    </xf>
    <xf numFmtId="4" fontId="18" fillId="0" borderId="0" xfId="67" applyNumberFormat="1" applyFont="1" applyFill="1" applyBorder="1" applyAlignment="1">
      <alignment horizontal="justify" vertical="justify" wrapText="1"/>
      <protection/>
    </xf>
    <xf numFmtId="0" fontId="18" fillId="0" borderId="0" xfId="67" applyFont="1" applyFill="1" applyBorder="1" applyAlignment="1">
      <alignment horizontal="left" vertical="justify" wrapText="1"/>
      <protection/>
    </xf>
    <xf numFmtId="4" fontId="3" fillId="0" borderId="12" xfId="68" applyNumberFormat="1" applyFont="1" applyFill="1" applyBorder="1" applyAlignment="1">
      <alignment horizontal="right"/>
      <protection/>
    </xf>
    <xf numFmtId="0" fontId="3" fillId="0" borderId="0" xfId="67" applyFont="1" applyFill="1" applyBorder="1" applyAlignment="1">
      <alignment horizontal="justify" vertical="top" wrapText="1"/>
      <protection/>
    </xf>
    <xf numFmtId="4" fontId="3" fillId="0" borderId="0" xfId="67" applyNumberFormat="1" applyFont="1" applyFill="1" applyBorder="1" applyAlignment="1">
      <alignment/>
      <protection/>
    </xf>
    <xf numFmtId="0" fontId="3" fillId="0" borderId="0" xfId="67" applyFont="1" applyFill="1" applyBorder="1" applyAlignment="1">
      <alignment horizontal="center" wrapText="1"/>
      <protection/>
    </xf>
    <xf numFmtId="0" fontId="6" fillId="0" borderId="23" xfId="0" applyFont="1" applyFill="1" applyBorder="1" applyAlignment="1">
      <alignment horizontal="right"/>
    </xf>
    <xf numFmtId="0" fontId="6" fillId="0" borderId="21" xfId="0" applyFont="1" applyFill="1" applyBorder="1" applyAlignment="1">
      <alignment horizontal="right"/>
    </xf>
    <xf numFmtId="0" fontId="6" fillId="0" borderId="21" xfId="0" applyFont="1" applyFill="1" applyBorder="1" applyAlignment="1">
      <alignment horizontal="right" vertical="justify" wrapText="1"/>
    </xf>
    <xf numFmtId="4" fontId="37" fillId="0" borderId="22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 horizontal="left" vertical="center" wrapText="1"/>
    </xf>
    <xf numFmtId="10" fontId="9" fillId="0" borderId="21" xfId="63" applyNumberFormat="1" applyFont="1" applyFill="1" applyBorder="1" applyAlignment="1">
      <alignment vertical="top"/>
      <protection/>
    </xf>
    <xf numFmtId="10" fontId="8" fillId="0" borderId="19" xfId="50" applyNumberFormat="1" applyFont="1" applyFill="1" applyBorder="1" applyAlignment="1">
      <alignment/>
    </xf>
    <xf numFmtId="44" fontId="0" fillId="0" borderId="0" xfId="50" applyFont="1" applyAlignment="1">
      <alignment horizontal="right"/>
    </xf>
    <xf numFmtId="44" fontId="3" fillId="0" borderId="0" xfId="50" applyFont="1" applyAlignment="1">
      <alignment horizontal="right"/>
    </xf>
    <xf numFmtId="44" fontId="56" fillId="34" borderId="19" xfId="50" applyFont="1" applyFill="1" applyBorder="1" applyAlignment="1">
      <alignment horizontal="right"/>
    </xf>
    <xf numFmtId="44" fontId="3" fillId="0" borderId="0" xfId="50" applyFont="1" applyFill="1" applyBorder="1" applyAlignment="1">
      <alignment horizontal="right"/>
    </xf>
    <xf numFmtId="44" fontId="37" fillId="33" borderId="0" xfId="50" applyFont="1" applyFill="1" applyAlignment="1">
      <alignment horizontal="right"/>
    </xf>
    <xf numFmtId="44" fontId="3" fillId="0" borderId="0" xfId="50" applyFont="1" applyFill="1" applyBorder="1" applyAlignment="1">
      <alignment horizontal="right" wrapText="1"/>
    </xf>
    <xf numFmtId="44" fontId="18" fillId="0" borderId="0" xfId="50" applyFont="1" applyFill="1" applyBorder="1" applyAlignment="1">
      <alignment horizontal="right" wrapText="1"/>
    </xf>
    <xf numFmtId="0" fontId="3" fillId="0" borderId="19" xfId="67" applyFont="1" applyFill="1" applyBorder="1" applyAlignment="1">
      <alignment horizontal="justify" vertical="justify" wrapText="1"/>
      <protection/>
    </xf>
    <xf numFmtId="4" fontId="3" fillId="0" borderId="19" xfId="67" applyNumberFormat="1" applyFont="1" applyFill="1" applyBorder="1" applyAlignment="1">
      <alignment horizontal="justify" vertical="justify" wrapText="1"/>
      <protection/>
    </xf>
    <xf numFmtId="4" fontId="3" fillId="0" borderId="19" xfId="68" applyNumberFormat="1" applyFont="1" applyFill="1" applyBorder="1" applyAlignment="1">
      <alignment horizontal="right"/>
      <protection/>
    </xf>
    <xf numFmtId="4" fontId="3" fillId="0" borderId="19" xfId="0" applyNumberFormat="1" applyFont="1" applyFill="1" applyBorder="1" applyAlignment="1">
      <alignment horizontal="right"/>
    </xf>
    <xf numFmtId="4" fontId="3" fillId="0" borderId="17" xfId="68" applyNumberFormat="1" applyFont="1" applyFill="1" applyBorder="1" applyAlignment="1">
      <alignment horizontal="right"/>
      <protection/>
    </xf>
    <xf numFmtId="4" fontId="3" fillId="0" borderId="17" xfId="0" applyNumberFormat="1" applyFont="1" applyFill="1" applyBorder="1" applyAlignment="1">
      <alignment horizontal="right"/>
    </xf>
    <xf numFmtId="0" fontId="18" fillId="0" borderId="19" xfId="67" applyFont="1" applyFill="1" applyBorder="1" applyAlignment="1">
      <alignment horizontal="justify" vertical="justify" wrapText="1"/>
      <protection/>
    </xf>
    <xf numFmtId="0" fontId="3" fillId="0" borderId="19" xfId="67" applyFont="1" applyFill="1" applyBorder="1" applyAlignment="1">
      <alignment horizontal="center" wrapText="1"/>
      <protection/>
    </xf>
    <xf numFmtId="0" fontId="3" fillId="0" borderId="19" xfId="67" applyFont="1" applyFill="1" applyBorder="1" applyAlignment="1">
      <alignment horizontal="center" vertical="center"/>
      <protection/>
    </xf>
    <xf numFmtId="0" fontId="3" fillId="0" borderId="19" xfId="67" applyFont="1" applyFill="1" applyBorder="1" applyAlignment="1">
      <alignment horizontal="center" vertical="center" wrapText="1"/>
      <protection/>
    </xf>
    <xf numFmtId="0" fontId="3" fillId="0" borderId="19" xfId="67" applyFont="1" applyFill="1" applyBorder="1" applyAlignment="1">
      <alignment horizontal="justify" vertical="top" wrapText="1"/>
      <protection/>
    </xf>
    <xf numFmtId="4" fontId="3" fillId="0" borderId="19" xfId="67" applyNumberFormat="1" applyFont="1" applyFill="1" applyBorder="1" applyAlignment="1">
      <alignment horizontal="center" vertical="center"/>
      <protection/>
    </xf>
    <xf numFmtId="4" fontId="3" fillId="0" borderId="19" xfId="67" applyNumberFormat="1" applyFont="1" applyFill="1" applyBorder="1" applyAlignment="1">
      <alignment/>
      <protection/>
    </xf>
    <xf numFmtId="4" fontId="3" fillId="0" borderId="19" xfId="67" applyNumberFormat="1" applyFont="1" applyFill="1" applyBorder="1" applyAlignment="1">
      <alignment horizontal="right"/>
      <protection/>
    </xf>
    <xf numFmtId="0" fontId="3" fillId="0" borderId="19" xfId="0" applyFont="1" applyFill="1" applyBorder="1" applyAlignment="1">
      <alignment/>
    </xf>
    <xf numFmtId="44" fontId="3" fillId="0" borderId="19" xfId="50" applyFont="1" applyFill="1" applyBorder="1" applyAlignment="1">
      <alignment horizontal="right" wrapText="1"/>
    </xf>
    <xf numFmtId="44" fontId="3" fillId="0" borderId="19" xfId="50" applyFont="1" applyFill="1" applyBorder="1" applyAlignment="1">
      <alignment horizontal="right"/>
    </xf>
    <xf numFmtId="44" fontId="37" fillId="0" borderId="0" xfId="50" applyFont="1" applyFill="1" applyAlignment="1">
      <alignment horizontal="right"/>
    </xf>
    <xf numFmtId="0" fontId="37" fillId="0" borderId="0" xfId="0" applyFont="1" applyFill="1" applyAlignment="1">
      <alignment horizontal="right"/>
    </xf>
    <xf numFmtId="0" fontId="56" fillId="0" borderId="19" xfId="0" applyFont="1" applyFill="1" applyBorder="1" applyAlignment="1">
      <alignment/>
    </xf>
    <xf numFmtId="0" fontId="56" fillId="0" borderId="23" xfId="0" applyFont="1" applyFill="1" applyBorder="1" applyAlignment="1">
      <alignment/>
    </xf>
    <xf numFmtId="0" fontId="56" fillId="0" borderId="21" xfId="0" applyFont="1" applyFill="1" applyBorder="1" applyAlignment="1">
      <alignment/>
    </xf>
    <xf numFmtId="0" fontId="56" fillId="0" borderId="22" xfId="0" applyFont="1" applyFill="1" applyBorder="1" applyAlignment="1">
      <alignment/>
    </xf>
    <xf numFmtId="44" fontId="56" fillId="0" borderId="19" xfId="50" applyFont="1" applyFill="1" applyBorder="1" applyAlignment="1">
      <alignment horizontal="right"/>
    </xf>
    <xf numFmtId="0" fontId="18" fillId="0" borderId="0" xfId="68" applyFont="1" applyFill="1" applyBorder="1" applyAlignment="1">
      <alignment horizontal="center" vertical="center" wrapText="1"/>
      <protection/>
    </xf>
    <xf numFmtId="4" fontId="57" fillId="33" borderId="14" xfId="66" applyNumberFormat="1" applyFont="1" applyFill="1" applyBorder="1" applyAlignment="1">
      <alignment horizontal="left" vertical="center"/>
      <protection/>
    </xf>
    <xf numFmtId="4" fontId="57" fillId="33" borderId="0" xfId="66" applyNumberFormat="1" applyFont="1" applyFill="1" applyBorder="1" applyAlignment="1">
      <alignment horizontal="left" vertical="center"/>
      <protection/>
    </xf>
    <xf numFmtId="4" fontId="57" fillId="33" borderId="15" xfId="66" applyNumberFormat="1" applyFont="1" applyFill="1" applyBorder="1" applyAlignment="1">
      <alignment horizontal="left" vertical="center"/>
      <protection/>
    </xf>
    <xf numFmtId="0" fontId="5" fillId="33" borderId="14" xfId="0" applyFont="1" applyFill="1" applyBorder="1" applyAlignment="1">
      <alignment horizontal="left" vertical="center" wrapText="1" readingOrder="1"/>
    </xf>
    <xf numFmtId="0" fontId="5" fillId="33" borderId="0" xfId="0" applyFont="1" applyFill="1" applyBorder="1" applyAlignment="1">
      <alignment horizontal="left" vertical="center" wrapText="1" readingOrder="1"/>
    </xf>
    <xf numFmtId="0" fontId="5" fillId="33" borderId="15" xfId="0" applyFont="1" applyFill="1" applyBorder="1" applyAlignment="1">
      <alignment horizontal="left" vertical="center" wrapText="1" readingOrder="1"/>
    </xf>
    <xf numFmtId="0" fontId="5" fillId="33" borderId="14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4" fontId="57" fillId="33" borderId="14" xfId="59" applyNumberFormat="1" applyFont="1" applyFill="1" applyBorder="1" applyAlignment="1">
      <alignment horizontal="left" vertical="center"/>
      <protection/>
    </xf>
    <xf numFmtId="4" fontId="57" fillId="33" borderId="0" xfId="59" applyNumberFormat="1" applyFont="1" applyFill="1" applyBorder="1" applyAlignment="1">
      <alignment horizontal="left" vertical="center"/>
      <protection/>
    </xf>
    <xf numFmtId="4" fontId="57" fillId="33" borderId="15" xfId="59" applyNumberFormat="1" applyFont="1" applyFill="1" applyBorder="1" applyAlignment="1">
      <alignment horizontal="left" vertical="center"/>
      <protection/>
    </xf>
    <xf numFmtId="0" fontId="5" fillId="33" borderId="16" xfId="66" applyFont="1" applyFill="1" applyBorder="1" applyAlignment="1">
      <alignment horizontal="left"/>
      <protection/>
    </xf>
    <xf numFmtId="0" fontId="5" fillId="33" borderId="17" xfId="66" applyFont="1" applyFill="1" applyBorder="1" applyAlignment="1">
      <alignment horizontal="left"/>
      <protection/>
    </xf>
    <xf numFmtId="0" fontId="5" fillId="33" borderId="18" xfId="66" applyFont="1" applyFill="1" applyBorder="1" applyAlignment="1">
      <alignment horizontal="left"/>
      <protection/>
    </xf>
    <xf numFmtId="49" fontId="56" fillId="33" borderId="23" xfId="65" applyNumberFormat="1" applyFont="1" applyFill="1" applyBorder="1" applyAlignment="1">
      <alignment horizontal="center" vertical="center" wrapText="1"/>
      <protection/>
    </xf>
    <xf numFmtId="0" fontId="57" fillId="33" borderId="21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 wrapText="1"/>
    </xf>
    <xf numFmtId="4" fontId="18" fillId="0" borderId="19" xfId="0" applyNumberFormat="1" applyFont="1" applyFill="1" applyBorder="1" applyAlignment="1">
      <alignment horizontal="center" vertical="center"/>
    </xf>
    <xf numFmtId="4" fontId="19" fillId="0" borderId="19" xfId="0" applyNumberFormat="1" applyFont="1" applyBorder="1" applyAlignment="1">
      <alignment horizontal="center" vertical="center"/>
    </xf>
    <xf numFmtId="0" fontId="10" fillId="0" borderId="23" xfId="62" applyFont="1" applyBorder="1" applyAlignment="1">
      <alignment horizontal="center"/>
      <protection/>
    </xf>
    <xf numFmtId="0" fontId="10" fillId="0" borderId="22" xfId="62" applyFont="1" applyBorder="1" applyAlignment="1">
      <alignment horizontal="center"/>
      <protection/>
    </xf>
    <xf numFmtId="4" fontId="9" fillId="0" borderId="23" xfId="64" applyNumberFormat="1" applyFont="1" applyBorder="1" applyAlignment="1">
      <alignment horizontal="center"/>
      <protection/>
    </xf>
    <xf numFmtId="4" fontId="9" fillId="0" borderId="22" xfId="64" applyNumberFormat="1" applyFont="1" applyBorder="1" applyAlignment="1">
      <alignment horizontal="center"/>
      <protection/>
    </xf>
    <xf numFmtId="39" fontId="9" fillId="0" borderId="23" xfId="62" applyNumberFormat="1" applyFont="1" applyBorder="1" applyAlignment="1">
      <alignment horizontal="center"/>
      <protection/>
    </xf>
    <xf numFmtId="39" fontId="9" fillId="0" borderId="22" xfId="62" applyNumberFormat="1" applyFont="1" applyBorder="1" applyAlignment="1">
      <alignment horizontal="center"/>
      <protection/>
    </xf>
    <xf numFmtId="10" fontId="9" fillId="0" borderId="23" xfId="71" applyNumberFormat="1" applyFont="1" applyBorder="1" applyAlignment="1">
      <alignment horizontal="center"/>
    </xf>
    <xf numFmtId="10" fontId="9" fillId="0" borderId="22" xfId="71" applyNumberFormat="1" applyFont="1" applyBorder="1" applyAlignment="1">
      <alignment horizontal="center"/>
    </xf>
    <xf numFmtId="0" fontId="9" fillId="0" borderId="19" xfId="63" applyFont="1" applyFill="1" applyBorder="1" applyAlignment="1">
      <alignment horizontal="center" vertical="top"/>
      <protection/>
    </xf>
    <xf numFmtId="1" fontId="9" fillId="0" borderId="23" xfId="62" applyNumberFormat="1" applyFont="1" applyBorder="1" applyAlignment="1">
      <alignment horizontal="left" vertical="top"/>
      <protection/>
    </xf>
    <xf numFmtId="1" fontId="9" fillId="0" borderId="22" xfId="62" applyNumberFormat="1" applyFont="1" applyBorder="1" applyAlignment="1">
      <alignment horizontal="left" vertical="top"/>
      <protection/>
    </xf>
    <xf numFmtId="0" fontId="10" fillId="0" borderId="20" xfId="62" applyFont="1" applyBorder="1" applyAlignment="1">
      <alignment horizontal="center" wrapText="1"/>
      <protection/>
    </xf>
    <xf numFmtId="0" fontId="10" fillId="0" borderId="24" xfId="62" applyFont="1" applyBorder="1" applyAlignment="1">
      <alignment horizontal="center" wrapText="1"/>
      <protection/>
    </xf>
    <xf numFmtId="0" fontId="10" fillId="0" borderId="25" xfId="62" applyFont="1" applyBorder="1" applyAlignment="1">
      <alignment horizontal="center" wrapText="1"/>
      <protection/>
    </xf>
    <xf numFmtId="0" fontId="10" fillId="0" borderId="21" xfId="62" applyFont="1" applyBorder="1" applyAlignment="1">
      <alignment horizontal="center"/>
      <protection/>
    </xf>
    <xf numFmtId="0" fontId="9" fillId="0" borderId="23" xfId="62" applyFont="1" applyBorder="1" applyAlignment="1">
      <alignment horizontal="left" vertical="top"/>
      <protection/>
    </xf>
    <xf numFmtId="0" fontId="9" fillId="0" borderId="22" xfId="62" applyFont="1" applyBorder="1" applyAlignment="1">
      <alignment horizontal="left" vertical="top"/>
      <protection/>
    </xf>
    <xf numFmtId="44" fontId="9" fillId="0" borderId="11" xfId="59" applyNumberFormat="1" applyFont="1" applyBorder="1" applyAlignment="1">
      <alignment horizontal="center" vertical="center" wrapText="1" readingOrder="1"/>
      <protection/>
    </xf>
    <xf numFmtId="44" fontId="9" fillId="0" borderId="12" xfId="59" applyNumberFormat="1" applyFont="1" applyBorder="1" applyAlignment="1">
      <alignment horizontal="center" vertical="center" wrapText="1" readingOrder="1"/>
      <protection/>
    </xf>
    <xf numFmtId="44" fontId="9" fillId="0" borderId="14" xfId="59" applyNumberFormat="1" applyFont="1" applyBorder="1" applyAlignment="1">
      <alignment horizontal="center" vertical="center" wrapText="1" readingOrder="1"/>
      <protection/>
    </xf>
    <xf numFmtId="44" fontId="9" fillId="0" borderId="0" xfId="59" applyNumberFormat="1" applyFont="1" applyBorder="1" applyAlignment="1">
      <alignment horizontal="center" vertical="center" wrapText="1" readingOrder="1"/>
      <protection/>
    </xf>
    <xf numFmtId="4" fontId="8" fillId="0" borderId="14" xfId="59" applyNumberFormat="1" applyFont="1" applyFill="1" applyBorder="1" applyAlignment="1">
      <alignment horizontal="center" vertical="center" wrapText="1" readingOrder="1"/>
      <protection/>
    </xf>
    <xf numFmtId="4" fontId="8" fillId="0" borderId="0" xfId="59" applyNumberFormat="1" applyFont="1" applyFill="1" applyBorder="1" applyAlignment="1">
      <alignment horizontal="center" vertical="center" wrapText="1" readingOrder="1"/>
      <protection/>
    </xf>
    <xf numFmtId="0" fontId="8" fillId="0" borderId="14" xfId="66" applyFont="1" applyFill="1" applyBorder="1" applyAlignment="1">
      <alignment horizontal="center"/>
      <protection/>
    </xf>
    <xf numFmtId="0" fontId="8" fillId="0" borderId="0" xfId="66" applyFont="1" applyFill="1" applyBorder="1" applyAlignment="1">
      <alignment horizontal="center"/>
      <protection/>
    </xf>
    <xf numFmtId="0" fontId="9" fillId="0" borderId="23" xfId="66" applyFont="1" applyFill="1" applyBorder="1" applyAlignment="1">
      <alignment horizontal="center" vertical="center" wrapText="1"/>
      <protection/>
    </xf>
    <xf numFmtId="0" fontId="9" fillId="0" borderId="21" xfId="66" applyFont="1" applyFill="1" applyBorder="1" applyAlignment="1">
      <alignment horizontal="center" vertical="center" wrapText="1"/>
      <protection/>
    </xf>
    <xf numFmtId="0" fontId="9" fillId="0" borderId="22" xfId="66" applyFont="1" applyFill="1" applyBorder="1" applyAlignment="1">
      <alignment horizontal="center" vertical="center" wrapText="1"/>
      <protection/>
    </xf>
    <xf numFmtId="4" fontId="8" fillId="0" borderId="14" xfId="59" applyNumberFormat="1" applyFont="1" applyFill="1" applyBorder="1" applyAlignment="1">
      <alignment horizontal="center" vertical="center" wrapText="1"/>
      <protection/>
    </xf>
    <xf numFmtId="4" fontId="8" fillId="0" borderId="0" xfId="59" applyNumberFormat="1" applyFont="1" applyFill="1" applyBorder="1" applyAlignment="1">
      <alignment horizontal="center" vertical="center" wrapText="1"/>
      <protection/>
    </xf>
    <xf numFmtId="4" fontId="8" fillId="0" borderId="14" xfId="66" applyNumberFormat="1" applyFont="1" applyFill="1" applyBorder="1" applyAlignment="1">
      <alignment horizontal="center" vertical="center" wrapText="1"/>
      <protection/>
    </xf>
    <xf numFmtId="4" fontId="8" fillId="0" borderId="0" xfId="66" applyNumberFormat="1" applyFont="1" applyFill="1" applyBorder="1" applyAlignment="1">
      <alignment horizontal="center" vertical="center" wrapText="1"/>
      <protection/>
    </xf>
    <xf numFmtId="4" fontId="8" fillId="0" borderId="16" xfId="66" applyNumberFormat="1" applyFont="1" applyFill="1" applyBorder="1" applyAlignment="1">
      <alignment horizontal="center" vertical="center" wrapText="1"/>
      <protection/>
    </xf>
    <xf numFmtId="4" fontId="8" fillId="0" borderId="17" xfId="66" applyNumberFormat="1" applyFont="1" applyFill="1" applyBorder="1" applyAlignment="1">
      <alignment horizontal="center" vertical="center" wrapText="1"/>
      <protection/>
    </xf>
  </cellXfs>
  <cellStyles count="7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uro" xfId="44"/>
    <cellStyle name="Euro 2" xfId="45"/>
    <cellStyle name="Euro 2 2" xfId="46"/>
    <cellStyle name="Hyperlink" xfId="47"/>
    <cellStyle name="Followed Hyperlink" xfId="48"/>
    <cellStyle name="Incorreto" xfId="49"/>
    <cellStyle name="Currency" xfId="50"/>
    <cellStyle name="Currency [0]" xfId="51"/>
    <cellStyle name="Moeda 2" xfId="52"/>
    <cellStyle name="Moeda 3" xfId="53"/>
    <cellStyle name="Neutra" xfId="54"/>
    <cellStyle name="Normal 10" xfId="55"/>
    <cellStyle name="Normal 2" xfId="56"/>
    <cellStyle name="Normal 2 2" xfId="57"/>
    <cellStyle name="Normal 2 2 2" xfId="58"/>
    <cellStyle name="Normal 2 3" xfId="59"/>
    <cellStyle name="Normal 3" xfId="60"/>
    <cellStyle name="Normal 4" xfId="61"/>
    <cellStyle name="Normal_CRONOGRAMA" xfId="62"/>
    <cellStyle name="Normal_CRUZEI~1" xfId="63"/>
    <cellStyle name="Normal_Orçamento nº057-2003- Esc. Munic. AMPARO revisão" xfId="64"/>
    <cellStyle name="Normal_P_Getulio Vargas" xfId="65"/>
    <cellStyle name="Normal_P_Getulio Vargas 2" xfId="66"/>
    <cellStyle name="Normal_RUAS 3,4,7 e 8 R-1" xfId="67"/>
    <cellStyle name="Normal_RUAS 3,4,7 e 8 R-1 2 2" xfId="68"/>
    <cellStyle name="Nota" xfId="69"/>
    <cellStyle name="Percent" xfId="70"/>
    <cellStyle name="Porcentagem 2" xfId="71"/>
    <cellStyle name="Porcentagem 3" xfId="72"/>
    <cellStyle name="Saída" xfId="73"/>
    <cellStyle name="Comma [0]" xfId="74"/>
    <cellStyle name="Texto de Aviso" xfId="75"/>
    <cellStyle name="Texto Explicativo" xfId="76"/>
    <cellStyle name="Título" xfId="77"/>
    <cellStyle name="Título 1" xfId="78"/>
    <cellStyle name="Título 1 1" xfId="79"/>
    <cellStyle name="Título 1 1 1" xfId="80"/>
    <cellStyle name="Título 1 1_PLAN   (2)" xfId="81"/>
    <cellStyle name="Título 2" xfId="82"/>
    <cellStyle name="Título 3" xfId="83"/>
    <cellStyle name="Título 4" xfId="84"/>
    <cellStyle name="Total" xfId="85"/>
    <cellStyle name="Comma" xfId="86"/>
    <cellStyle name="Vírgula 2" xfId="87"/>
    <cellStyle name="Vírgula 3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771525</xdr:colOff>
      <xdr:row>6</xdr:row>
      <xdr:rowOff>57150</xdr:rowOff>
    </xdr:to>
    <xdr:sp>
      <xdr:nvSpPr>
        <xdr:cNvPr id="1" name="Picture 2"/>
        <xdr:cNvSpPr>
          <a:spLocks noChangeAspect="1"/>
        </xdr:cNvSpPr>
      </xdr:nvSpPr>
      <xdr:spPr>
        <a:xfrm>
          <a:off x="0" y="0"/>
          <a:ext cx="1381125" cy="1257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371475</xdr:colOff>
      <xdr:row>0</xdr:row>
      <xdr:rowOff>114300</xdr:rowOff>
    </xdr:from>
    <xdr:to>
      <xdr:col>1</xdr:col>
      <xdr:colOff>1143000</xdr:colOff>
      <xdr:row>7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4300"/>
          <a:ext cx="138112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771525</xdr:colOff>
      <xdr:row>6</xdr:row>
      <xdr:rowOff>57150</xdr:rowOff>
    </xdr:to>
    <xdr:sp>
      <xdr:nvSpPr>
        <xdr:cNvPr id="1" name="Picture 2"/>
        <xdr:cNvSpPr>
          <a:spLocks noChangeAspect="1"/>
        </xdr:cNvSpPr>
      </xdr:nvSpPr>
      <xdr:spPr>
        <a:xfrm>
          <a:off x="0" y="0"/>
          <a:ext cx="1381125" cy="1257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371475</xdr:colOff>
      <xdr:row>0</xdr:row>
      <xdr:rowOff>114300</xdr:rowOff>
    </xdr:from>
    <xdr:to>
      <xdr:col>1</xdr:col>
      <xdr:colOff>1143000</xdr:colOff>
      <xdr:row>7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4300"/>
          <a:ext cx="138112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142875</xdr:rowOff>
    </xdr:from>
    <xdr:to>
      <xdr:col>1</xdr:col>
      <xdr:colOff>895350</xdr:colOff>
      <xdr:row>6</xdr:row>
      <xdr:rowOff>200025</xdr:rowOff>
    </xdr:to>
    <xdr:sp>
      <xdr:nvSpPr>
        <xdr:cNvPr id="1" name="Picture 2"/>
        <xdr:cNvSpPr>
          <a:spLocks noChangeAspect="1"/>
        </xdr:cNvSpPr>
      </xdr:nvSpPr>
      <xdr:spPr>
        <a:xfrm>
          <a:off x="123825" y="142875"/>
          <a:ext cx="1381125" cy="1257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</xdr:colOff>
      <xdr:row>2</xdr:row>
      <xdr:rowOff>171450</xdr:rowOff>
    </xdr:from>
    <xdr:to>
      <xdr:col>10</xdr:col>
      <xdr:colOff>2114550</xdr:colOff>
      <xdr:row>7</xdr:row>
      <xdr:rowOff>238125</xdr:rowOff>
    </xdr:to>
    <xdr:sp>
      <xdr:nvSpPr>
        <xdr:cNvPr id="1" name="Picture 2"/>
        <xdr:cNvSpPr>
          <a:spLocks noChangeAspect="1"/>
        </xdr:cNvSpPr>
      </xdr:nvSpPr>
      <xdr:spPr>
        <a:xfrm>
          <a:off x="20097750" y="1181100"/>
          <a:ext cx="2076450" cy="259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876300</xdr:colOff>
      <xdr:row>1</xdr:row>
      <xdr:rowOff>190500</xdr:rowOff>
    </xdr:from>
    <xdr:to>
      <xdr:col>1</xdr:col>
      <xdr:colOff>3162300</xdr:colOff>
      <xdr:row>6</xdr:row>
      <xdr:rowOff>209550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695325"/>
          <a:ext cx="2286000" cy="2543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1914525</xdr:colOff>
      <xdr:row>1</xdr:row>
      <xdr:rowOff>200025</xdr:rowOff>
    </xdr:from>
    <xdr:to>
      <xdr:col>9</xdr:col>
      <xdr:colOff>295275</xdr:colOff>
      <xdr:row>6</xdr:row>
      <xdr:rowOff>228600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87725" y="704850"/>
          <a:ext cx="2305050" cy="2552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Users\alfredo.cunha\Documents\Meus%20Documentos\ALFREDO\QUADRA%20PARQUE%20INDEPEND&#202;NCIA\Or&#231;amento%20n&#186;0xx-2014_%20Constru&#231;&#227;o%20de%20Quadra%20Poliesportiva%20Coberta%20Parque%20Independ&#234;nc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MÓRIA"/>
      <sheetName val="EMOP"/>
      <sheetName val="SUSESP"/>
      <sheetName val="SUSESP SP"/>
      <sheetName val="Cronograma "/>
      <sheetName val="Cronograma  s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4"/>
  <sheetViews>
    <sheetView tabSelected="1" view="pageBreakPreview" zoomScale="70" zoomScaleSheetLayoutView="70" zoomScalePageLayoutView="0" workbookViewId="0" topLeftCell="A541">
      <selection activeCell="B559" sqref="B559"/>
    </sheetView>
  </sheetViews>
  <sheetFormatPr defaultColWidth="9.140625" defaultRowHeight="15"/>
  <cols>
    <col min="2" max="2" width="23.421875" style="0" customWidth="1"/>
    <col min="3" max="3" width="104.00390625" style="1" customWidth="1"/>
    <col min="4" max="4" width="11.140625" style="0" customWidth="1"/>
    <col min="5" max="5" width="10.7109375" style="0" bestFit="1" customWidth="1"/>
    <col min="6" max="6" width="19.00390625" style="0" bestFit="1" customWidth="1"/>
    <col min="7" max="7" width="13.8515625" style="0" bestFit="1" customWidth="1"/>
    <col min="8" max="8" width="16.8515625" style="0" bestFit="1" customWidth="1"/>
    <col min="9" max="9" width="17.140625" style="0" bestFit="1" customWidth="1"/>
    <col min="12" max="12" width="14.28125" style="0" bestFit="1" customWidth="1"/>
    <col min="13" max="14" width="14.421875" style="0" bestFit="1" customWidth="1"/>
  </cols>
  <sheetData>
    <row r="1" spans="1:7" ht="15.75">
      <c r="A1" s="2"/>
      <c r="B1" s="3"/>
      <c r="C1" s="4" t="s">
        <v>26</v>
      </c>
      <c r="D1" s="5"/>
      <c r="E1" s="6"/>
      <c r="F1" s="7"/>
      <c r="G1" s="8"/>
    </row>
    <row r="2" spans="1:7" ht="15.75">
      <c r="A2" s="9"/>
      <c r="B2" s="10"/>
      <c r="C2" s="11" t="s">
        <v>27</v>
      </c>
      <c r="D2" s="12"/>
      <c r="E2" s="13"/>
      <c r="F2" s="14"/>
      <c r="G2" s="15"/>
    </row>
    <row r="3" spans="1:7" ht="15.75">
      <c r="A3" s="9"/>
      <c r="B3" s="10"/>
      <c r="C3" s="11" t="s">
        <v>28</v>
      </c>
      <c r="D3" s="124" t="s">
        <v>542</v>
      </c>
      <c r="E3" s="125"/>
      <c r="F3" s="125"/>
      <c r="G3" s="126"/>
    </row>
    <row r="4" spans="1:7" ht="15.75" customHeight="1">
      <c r="A4" s="9"/>
      <c r="B4" s="10"/>
      <c r="C4" s="16" t="s">
        <v>652</v>
      </c>
      <c r="D4" s="127" t="s">
        <v>795</v>
      </c>
      <c r="E4" s="128"/>
      <c r="F4" s="128"/>
      <c r="G4" s="129"/>
    </row>
    <row r="5" spans="1:7" ht="15.75">
      <c r="A5" s="9"/>
      <c r="B5" s="10"/>
      <c r="C5" s="45" t="s">
        <v>540</v>
      </c>
      <c r="D5" s="130" t="s">
        <v>178</v>
      </c>
      <c r="E5" s="131"/>
      <c r="F5" s="131"/>
      <c r="G5" s="132"/>
    </row>
    <row r="6" spans="1:7" ht="15.75">
      <c r="A6" s="9"/>
      <c r="B6" s="10"/>
      <c r="C6" s="17" t="s">
        <v>796</v>
      </c>
      <c r="D6" s="133" t="s">
        <v>179</v>
      </c>
      <c r="E6" s="134"/>
      <c r="F6" s="134"/>
      <c r="G6" s="135"/>
    </row>
    <row r="7" spans="1:7" ht="15.75">
      <c r="A7" s="9"/>
      <c r="B7" s="10"/>
      <c r="C7" s="46"/>
      <c r="D7" s="133" t="s">
        <v>703</v>
      </c>
      <c r="E7" s="134"/>
      <c r="F7" s="134"/>
      <c r="G7" s="135"/>
    </row>
    <row r="8" spans="1:7" ht="15.75">
      <c r="A8" s="18"/>
      <c r="B8" s="19"/>
      <c r="C8" s="20"/>
      <c r="D8" s="136" t="s">
        <v>65</v>
      </c>
      <c r="E8" s="137"/>
      <c r="F8" s="137"/>
      <c r="G8" s="138"/>
    </row>
    <row r="9" spans="1:7" ht="15">
      <c r="A9" s="139" t="s">
        <v>29</v>
      </c>
      <c r="B9" s="140"/>
      <c r="C9" s="140"/>
      <c r="D9" s="140"/>
      <c r="E9" s="140"/>
      <c r="F9" s="140"/>
      <c r="G9" s="140"/>
    </row>
    <row r="10" spans="1:9" s="48" customFormat="1" ht="12.75" customHeight="1">
      <c r="A10" s="141" t="s">
        <v>30</v>
      </c>
      <c r="B10" s="142" t="s">
        <v>66</v>
      </c>
      <c r="C10" s="142" t="s">
        <v>31</v>
      </c>
      <c r="D10" s="141" t="s">
        <v>12</v>
      </c>
      <c r="E10" s="143" t="s">
        <v>32</v>
      </c>
      <c r="F10" s="144" t="s">
        <v>33</v>
      </c>
      <c r="G10" s="144"/>
      <c r="H10" s="144"/>
      <c r="I10" s="144"/>
    </row>
    <row r="11" spans="1:9" s="48" customFormat="1" ht="12.75" customHeight="1">
      <c r="A11" s="141"/>
      <c r="B11" s="142"/>
      <c r="C11" s="142"/>
      <c r="D11" s="141"/>
      <c r="E11" s="143"/>
      <c r="F11" s="49" t="s">
        <v>107</v>
      </c>
      <c r="G11" s="49" t="s">
        <v>108</v>
      </c>
      <c r="H11" s="49" t="s">
        <v>109</v>
      </c>
      <c r="I11" s="47" t="s">
        <v>110</v>
      </c>
    </row>
    <row r="12" spans="1:9" s="43" customFormat="1" ht="15.75">
      <c r="A12" s="43" t="s">
        <v>18</v>
      </c>
      <c r="B12" s="51"/>
      <c r="C12" s="52" t="s">
        <v>19</v>
      </c>
      <c r="D12" s="52"/>
      <c r="E12" s="52"/>
      <c r="F12" s="52"/>
      <c r="G12" s="52"/>
      <c r="H12" s="52"/>
      <c r="I12" s="50"/>
    </row>
    <row r="13" spans="1:11" s="65" customFormat="1" ht="42.75">
      <c r="A13" s="107" t="s">
        <v>8</v>
      </c>
      <c r="B13" s="108" t="s">
        <v>103</v>
      </c>
      <c r="C13" s="109" t="s">
        <v>104</v>
      </c>
      <c r="D13" s="110" t="s">
        <v>0</v>
      </c>
      <c r="E13" s="111">
        <v>6</v>
      </c>
      <c r="F13" s="112">
        <f>TRUNC(G19,2)</f>
        <v>169.7</v>
      </c>
      <c r="G13" s="101">
        <f>TRUNC(F13*1.2977,2)</f>
        <v>220.21</v>
      </c>
      <c r="H13" s="101">
        <f>TRUNC(F13*E13,2)</f>
        <v>1018.2</v>
      </c>
      <c r="I13" s="102">
        <f>TRUNC(E13*G13,2)</f>
        <v>1321.26</v>
      </c>
      <c r="K13" s="66"/>
    </row>
    <row r="14" spans="1:11" s="65" customFormat="1" ht="28.5">
      <c r="A14" s="59"/>
      <c r="B14" s="60" t="s">
        <v>105</v>
      </c>
      <c r="C14" s="82" t="s">
        <v>106</v>
      </c>
      <c r="D14" s="61" t="s">
        <v>0</v>
      </c>
      <c r="E14" s="83">
        <v>1</v>
      </c>
      <c r="F14" s="62">
        <f>TRUNC(65.3234,2)</f>
        <v>65.32</v>
      </c>
      <c r="G14" s="63">
        <f>TRUNC(E14*F14,2)</f>
        <v>65.32</v>
      </c>
      <c r="H14" s="63"/>
      <c r="I14" s="64"/>
      <c r="K14" s="66"/>
    </row>
    <row r="15" spans="1:11" s="65" customFormat="1" ht="28.5">
      <c r="A15" s="59"/>
      <c r="B15" s="60" t="s">
        <v>4</v>
      </c>
      <c r="C15" s="82" t="s">
        <v>71</v>
      </c>
      <c r="D15" s="61" t="s">
        <v>5</v>
      </c>
      <c r="E15" s="83">
        <v>0.3</v>
      </c>
      <c r="F15" s="62">
        <f>TRUNC(8.55,2)</f>
        <v>8.55</v>
      </c>
      <c r="G15" s="63">
        <f>TRUNC(E15*F15,2)</f>
        <v>2.56</v>
      </c>
      <c r="H15" s="63"/>
      <c r="I15" s="64"/>
      <c r="K15" s="66"/>
    </row>
    <row r="16" spans="1:11" s="65" customFormat="1" ht="14.25">
      <c r="A16" s="59"/>
      <c r="B16" s="60" t="s">
        <v>2</v>
      </c>
      <c r="C16" s="82" t="s">
        <v>382</v>
      </c>
      <c r="D16" s="61" t="s">
        <v>3</v>
      </c>
      <c r="E16" s="83">
        <v>9.2</v>
      </c>
      <c r="F16" s="62">
        <f>TRUNC(3.796,2)</f>
        <v>3.79</v>
      </c>
      <c r="G16" s="63">
        <f>TRUNC(E16*F16,2)</f>
        <v>34.86</v>
      </c>
      <c r="H16" s="63"/>
      <c r="I16" s="64"/>
      <c r="K16" s="66"/>
    </row>
    <row r="17" spans="1:11" s="65" customFormat="1" ht="28.5">
      <c r="A17" s="59"/>
      <c r="B17" s="60" t="s">
        <v>72</v>
      </c>
      <c r="C17" s="82" t="s">
        <v>73</v>
      </c>
      <c r="D17" s="61" t="s">
        <v>6</v>
      </c>
      <c r="E17" s="83">
        <v>2.06</v>
      </c>
      <c r="F17" s="62">
        <f>TRUNC(13.08,2)</f>
        <v>13.08</v>
      </c>
      <c r="G17" s="63">
        <f>TRUNC(E17*F17,2)</f>
        <v>26.94</v>
      </c>
      <c r="H17" s="63"/>
      <c r="I17" s="64"/>
      <c r="K17" s="66"/>
    </row>
    <row r="18" spans="1:11" s="65" customFormat="1" ht="28.5">
      <c r="A18" s="59"/>
      <c r="B18" s="60" t="s">
        <v>74</v>
      </c>
      <c r="C18" s="82" t="s">
        <v>75</v>
      </c>
      <c r="D18" s="61" t="s">
        <v>6</v>
      </c>
      <c r="E18" s="83">
        <v>2.06</v>
      </c>
      <c r="F18" s="62">
        <f>TRUNC(19.43,2)</f>
        <v>19.43</v>
      </c>
      <c r="G18" s="63">
        <f>TRUNC(E18*F18,2)</f>
        <v>40.02</v>
      </c>
      <c r="H18" s="63"/>
      <c r="I18" s="64"/>
      <c r="K18" s="66"/>
    </row>
    <row r="19" spans="1:11" s="65" customFormat="1" ht="14.25">
      <c r="A19" s="59"/>
      <c r="B19" s="60"/>
      <c r="C19" s="82"/>
      <c r="D19" s="61"/>
      <c r="E19" s="83" t="s">
        <v>7</v>
      </c>
      <c r="F19" s="62"/>
      <c r="G19" s="63">
        <f>TRUNC(SUM(G14:G18),2)</f>
        <v>169.7</v>
      </c>
      <c r="H19" s="63"/>
      <c r="I19" s="64"/>
      <c r="K19" s="66"/>
    </row>
    <row r="20" spans="1:11" s="65" customFormat="1" ht="57">
      <c r="A20" s="107" t="s">
        <v>9</v>
      </c>
      <c r="B20" s="108" t="s">
        <v>181</v>
      </c>
      <c r="C20" s="109" t="s">
        <v>182</v>
      </c>
      <c r="D20" s="110" t="s">
        <v>0</v>
      </c>
      <c r="E20" s="113">
        <v>350.36</v>
      </c>
      <c r="F20" s="112">
        <f>TRUNC(G26,2)</f>
        <v>18.01</v>
      </c>
      <c r="G20" s="101">
        <f>TRUNC(F20*1.2977,2)</f>
        <v>23.37</v>
      </c>
      <c r="H20" s="101">
        <f>TRUNC(F20*E20,2)</f>
        <v>6309.98</v>
      </c>
      <c r="I20" s="102">
        <f>TRUNC(E20*G20,2)</f>
        <v>8187.91</v>
      </c>
      <c r="J20" s="65">
        <v>350.36</v>
      </c>
      <c r="K20" s="66"/>
    </row>
    <row r="21" spans="1:11" s="65" customFormat="1" ht="14.25">
      <c r="A21" s="59"/>
      <c r="B21" s="60" t="s">
        <v>183</v>
      </c>
      <c r="C21" s="82" t="s">
        <v>184</v>
      </c>
      <c r="D21" s="61" t="s">
        <v>0</v>
      </c>
      <c r="E21" s="83">
        <v>0.2625</v>
      </c>
      <c r="F21" s="62">
        <f>TRUNC(30,2)</f>
        <v>30</v>
      </c>
      <c r="G21" s="63">
        <f>TRUNC(E21*F21,2)</f>
        <v>7.87</v>
      </c>
      <c r="H21" s="63"/>
      <c r="I21" s="64"/>
      <c r="K21" s="66"/>
    </row>
    <row r="22" spans="1:11" s="65" customFormat="1" ht="28.5">
      <c r="A22" s="59"/>
      <c r="B22" s="60" t="s">
        <v>4</v>
      </c>
      <c r="C22" s="82" t="s">
        <v>71</v>
      </c>
      <c r="D22" s="61" t="s">
        <v>5</v>
      </c>
      <c r="E22" s="83">
        <v>0.05</v>
      </c>
      <c r="F22" s="62">
        <f>TRUNC(8.55,2)</f>
        <v>8.55</v>
      </c>
      <c r="G22" s="63">
        <f>TRUNC(E22*F22,2)</f>
        <v>0.42</v>
      </c>
      <c r="H22" s="63"/>
      <c r="I22" s="64"/>
      <c r="K22" s="66"/>
    </row>
    <row r="23" spans="1:11" s="65" customFormat="1" ht="14.25">
      <c r="A23" s="59"/>
      <c r="B23" s="60" t="s">
        <v>2</v>
      </c>
      <c r="C23" s="82" t="s">
        <v>382</v>
      </c>
      <c r="D23" s="61" t="s">
        <v>3</v>
      </c>
      <c r="E23" s="83">
        <v>0.8</v>
      </c>
      <c r="F23" s="62">
        <f>TRUNC(3.796,2)</f>
        <v>3.79</v>
      </c>
      <c r="G23" s="63">
        <f>TRUNC(E23*F23,2)</f>
        <v>3.03</v>
      </c>
      <c r="H23" s="63"/>
      <c r="I23" s="64"/>
      <c r="K23" s="66"/>
    </row>
    <row r="24" spans="1:11" s="65" customFormat="1" ht="28.5">
      <c r="A24" s="59"/>
      <c r="B24" s="60" t="s">
        <v>72</v>
      </c>
      <c r="C24" s="82" t="s">
        <v>73</v>
      </c>
      <c r="D24" s="61" t="s">
        <v>6</v>
      </c>
      <c r="E24" s="83">
        <v>0.20600000000000002</v>
      </c>
      <c r="F24" s="62">
        <f>TRUNC(13.08,2)</f>
        <v>13.08</v>
      </c>
      <c r="G24" s="63">
        <f>TRUNC(E24*F24,2)</f>
        <v>2.69</v>
      </c>
      <c r="H24" s="63"/>
      <c r="I24" s="64"/>
      <c r="K24" s="66"/>
    </row>
    <row r="25" spans="1:11" s="65" customFormat="1" ht="28.5">
      <c r="A25" s="59"/>
      <c r="B25" s="60" t="s">
        <v>74</v>
      </c>
      <c r="C25" s="82" t="s">
        <v>75</v>
      </c>
      <c r="D25" s="61" t="s">
        <v>6</v>
      </c>
      <c r="E25" s="83">
        <v>0.20600000000000002</v>
      </c>
      <c r="F25" s="62">
        <f>TRUNC(19.43,2)</f>
        <v>19.43</v>
      </c>
      <c r="G25" s="63">
        <f>TRUNC(E25*F25,2)</f>
        <v>4</v>
      </c>
      <c r="H25" s="63"/>
      <c r="I25" s="64"/>
      <c r="K25" s="66"/>
    </row>
    <row r="26" spans="1:11" s="65" customFormat="1" ht="14.25">
      <c r="A26" s="59"/>
      <c r="B26" s="60"/>
      <c r="C26" s="82"/>
      <c r="D26" s="61"/>
      <c r="E26" s="83" t="s">
        <v>7</v>
      </c>
      <c r="F26" s="62"/>
      <c r="G26" s="63">
        <f>TRUNC(SUM(G21:G25),2)</f>
        <v>18.01</v>
      </c>
      <c r="H26" s="63"/>
      <c r="I26" s="64"/>
      <c r="K26" s="66"/>
    </row>
    <row r="27" spans="1:11" s="65" customFormat="1" ht="57">
      <c r="A27" s="107" t="s">
        <v>10</v>
      </c>
      <c r="B27" s="108" t="s">
        <v>130</v>
      </c>
      <c r="C27" s="99" t="s">
        <v>131</v>
      </c>
      <c r="D27" s="110" t="s">
        <v>0</v>
      </c>
      <c r="E27" s="112">
        <v>8</v>
      </c>
      <c r="F27" s="112">
        <f>TRUNC(G45,2)</f>
        <v>344.06</v>
      </c>
      <c r="G27" s="101">
        <f>TRUNC(F27*1.2977,2)</f>
        <v>446.48</v>
      </c>
      <c r="H27" s="101">
        <f>TRUNC(F27*E27,2)</f>
        <v>2752.48</v>
      </c>
      <c r="I27" s="102">
        <f>TRUNC(E27*G27,2)</f>
        <v>3571.84</v>
      </c>
      <c r="K27" s="66"/>
    </row>
    <row r="28" spans="1:11" s="65" customFormat="1" ht="28.5">
      <c r="A28" s="59"/>
      <c r="B28" s="60" t="s">
        <v>132</v>
      </c>
      <c r="C28" s="67" t="s">
        <v>133</v>
      </c>
      <c r="D28" s="61" t="s">
        <v>12</v>
      </c>
      <c r="E28" s="62">
        <v>0.06</v>
      </c>
      <c r="F28" s="62">
        <f>TRUNC(7.62,2)</f>
        <v>7.62</v>
      </c>
      <c r="G28" s="63">
        <f aca="true" t="shared" si="0" ref="G28:G44">TRUNC(E28*F28,2)</f>
        <v>0.45</v>
      </c>
      <c r="H28" s="63"/>
      <c r="I28" s="64"/>
      <c r="K28" s="66"/>
    </row>
    <row r="29" spans="1:11" s="65" customFormat="1" ht="14.25">
      <c r="A29" s="59"/>
      <c r="B29" s="60" t="s">
        <v>2</v>
      </c>
      <c r="C29" s="67" t="s">
        <v>382</v>
      </c>
      <c r="D29" s="61" t="s">
        <v>3</v>
      </c>
      <c r="E29" s="62">
        <v>2</v>
      </c>
      <c r="F29" s="62">
        <f>TRUNC(3.796,2)</f>
        <v>3.79</v>
      </c>
      <c r="G29" s="63">
        <f t="shared" si="0"/>
        <v>7.58</v>
      </c>
      <c r="H29" s="63"/>
      <c r="I29" s="64"/>
      <c r="K29" s="66"/>
    </row>
    <row r="30" spans="1:11" s="65" customFormat="1" ht="28.5">
      <c r="A30" s="59"/>
      <c r="B30" s="60" t="s">
        <v>4</v>
      </c>
      <c r="C30" s="67" t="s">
        <v>71</v>
      </c>
      <c r="D30" s="61" t="s">
        <v>5</v>
      </c>
      <c r="E30" s="62">
        <v>0.12</v>
      </c>
      <c r="F30" s="62">
        <f>TRUNC(8.55,2)</f>
        <v>8.55</v>
      </c>
      <c r="G30" s="63">
        <f t="shared" si="0"/>
        <v>1.02</v>
      </c>
      <c r="H30" s="63"/>
      <c r="I30" s="64"/>
      <c r="K30" s="66"/>
    </row>
    <row r="31" spans="1:11" s="65" customFormat="1" ht="14.25">
      <c r="A31" s="59"/>
      <c r="B31" s="60" t="s">
        <v>134</v>
      </c>
      <c r="C31" s="67" t="s">
        <v>135</v>
      </c>
      <c r="D31" s="61" t="s">
        <v>12</v>
      </c>
      <c r="E31" s="62">
        <v>0.17170000000000002</v>
      </c>
      <c r="F31" s="62">
        <f>TRUNC(2.73,2)</f>
        <v>2.73</v>
      </c>
      <c r="G31" s="63">
        <f t="shared" si="0"/>
        <v>0.46</v>
      </c>
      <c r="H31" s="63"/>
      <c r="I31" s="64"/>
      <c r="K31" s="66"/>
    </row>
    <row r="32" spans="1:11" s="65" customFormat="1" ht="14.25">
      <c r="A32" s="59"/>
      <c r="B32" s="60" t="s">
        <v>136</v>
      </c>
      <c r="C32" s="67" t="s">
        <v>79</v>
      </c>
      <c r="D32" s="61" t="s">
        <v>0</v>
      </c>
      <c r="E32" s="62">
        <v>0.06</v>
      </c>
      <c r="F32" s="62">
        <f>TRUNC(36.176,2)</f>
        <v>36.17</v>
      </c>
      <c r="G32" s="63">
        <f t="shared" si="0"/>
        <v>2.17</v>
      </c>
      <c r="H32" s="63"/>
      <c r="I32" s="64"/>
      <c r="K32" s="66"/>
    </row>
    <row r="33" spans="1:11" s="65" customFormat="1" ht="14.25">
      <c r="A33" s="59"/>
      <c r="B33" s="60" t="s">
        <v>137</v>
      </c>
      <c r="C33" s="67" t="s">
        <v>77</v>
      </c>
      <c r="D33" s="61" t="s">
        <v>12</v>
      </c>
      <c r="E33" s="62">
        <v>0.0808</v>
      </c>
      <c r="F33" s="62">
        <f>TRUNC(6.93,2)</f>
        <v>6.93</v>
      </c>
      <c r="G33" s="63">
        <f t="shared" si="0"/>
        <v>0.55</v>
      </c>
      <c r="H33" s="63"/>
      <c r="I33" s="64"/>
      <c r="K33" s="66"/>
    </row>
    <row r="34" spans="1:11" s="65" customFormat="1" ht="14.25">
      <c r="A34" s="59"/>
      <c r="B34" s="60" t="s">
        <v>138</v>
      </c>
      <c r="C34" s="67" t="s">
        <v>76</v>
      </c>
      <c r="D34" s="61" t="s">
        <v>3</v>
      </c>
      <c r="E34" s="62">
        <v>0.505</v>
      </c>
      <c r="F34" s="62">
        <f>TRUNC(1.9094,2)</f>
        <v>1.9</v>
      </c>
      <c r="G34" s="63">
        <f t="shared" si="0"/>
        <v>0.95</v>
      </c>
      <c r="H34" s="63"/>
      <c r="I34" s="64"/>
      <c r="K34" s="66"/>
    </row>
    <row r="35" spans="1:11" s="65" customFormat="1" ht="14.25">
      <c r="A35" s="59"/>
      <c r="B35" s="60" t="s">
        <v>139</v>
      </c>
      <c r="C35" s="67" t="s">
        <v>78</v>
      </c>
      <c r="D35" s="61" t="s">
        <v>12</v>
      </c>
      <c r="E35" s="62">
        <v>0.95</v>
      </c>
      <c r="F35" s="62">
        <f>TRUNC(1.5,2)</f>
        <v>1.5</v>
      </c>
      <c r="G35" s="63">
        <f t="shared" si="0"/>
        <v>1.42</v>
      </c>
      <c r="H35" s="63"/>
      <c r="I35" s="64"/>
      <c r="K35" s="66"/>
    </row>
    <row r="36" spans="1:11" s="65" customFormat="1" ht="14.25">
      <c r="A36" s="59"/>
      <c r="B36" s="60" t="s">
        <v>140</v>
      </c>
      <c r="C36" s="67" t="s">
        <v>398</v>
      </c>
      <c r="D36" s="61" t="s">
        <v>12</v>
      </c>
      <c r="E36" s="62">
        <v>0.17</v>
      </c>
      <c r="F36" s="62">
        <f>TRUNC(19.9,2)</f>
        <v>19.9</v>
      </c>
      <c r="G36" s="63">
        <f t="shared" si="0"/>
        <v>3.38</v>
      </c>
      <c r="H36" s="63"/>
      <c r="I36" s="64"/>
      <c r="K36" s="66"/>
    </row>
    <row r="37" spans="1:11" s="65" customFormat="1" ht="14.25">
      <c r="A37" s="59"/>
      <c r="B37" s="60" t="s">
        <v>141</v>
      </c>
      <c r="C37" s="67" t="s">
        <v>397</v>
      </c>
      <c r="D37" s="61" t="s">
        <v>12</v>
      </c>
      <c r="E37" s="62">
        <v>0.08</v>
      </c>
      <c r="F37" s="62">
        <f>TRUNC(3.6,2)</f>
        <v>3.6</v>
      </c>
      <c r="G37" s="63">
        <f t="shared" si="0"/>
        <v>0.28</v>
      </c>
      <c r="H37" s="63"/>
      <c r="I37" s="64"/>
      <c r="K37" s="66"/>
    </row>
    <row r="38" spans="1:11" s="65" customFormat="1" ht="14.25">
      <c r="A38" s="59"/>
      <c r="B38" s="60" t="s">
        <v>142</v>
      </c>
      <c r="C38" s="67" t="s">
        <v>80</v>
      </c>
      <c r="D38" s="61" t="s">
        <v>12</v>
      </c>
      <c r="E38" s="62">
        <v>0.0808</v>
      </c>
      <c r="F38" s="62">
        <f>TRUNC(3.1,2)</f>
        <v>3.1</v>
      </c>
      <c r="G38" s="63">
        <f t="shared" si="0"/>
        <v>0.25</v>
      </c>
      <c r="H38" s="63"/>
      <c r="I38" s="64"/>
      <c r="K38" s="66"/>
    </row>
    <row r="39" spans="1:11" s="65" customFormat="1" ht="28.5">
      <c r="A39" s="59"/>
      <c r="B39" s="60" t="s">
        <v>143</v>
      </c>
      <c r="C39" s="67" t="s">
        <v>144</v>
      </c>
      <c r="D39" s="61" t="s">
        <v>12</v>
      </c>
      <c r="E39" s="62">
        <v>0.275</v>
      </c>
      <c r="F39" s="62">
        <f>TRUNC(44.68,2)</f>
        <v>44.68</v>
      </c>
      <c r="G39" s="63">
        <f t="shared" si="0"/>
        <v>12.28</v>
      </c>
      <c r="H39" s="63"/>
      <c r="I39" s="64"/>
      <c r="K39" s="66"/>
    </row>
    <row r="40" spans="1:11" s="65" customFormat="1" ht="14.25">
      <c r="A40" s="59"/>
      <c r="B40" s="60" t="s">
        <v>145</v>
      </c>
      <c r="C40" s="67" t="s">
        <v>146</v>
      </c>
      <c r="D40" s="61" t="s">
        <v>12</v>
      </c>
      <c r="E40" s="62">
        <v>0.0202</v>
      </c>
      <c r="F40" s="62">
        <f>TRUNC(8.56,2)</f>
        <v>8.56</v>
      </c>
      <c r="G40" s="63">
        <f t="shared" si="0"/>
        <v>0.17</v>
      </c>
      <c r="H40" s="63"/>
      <c r="I40" s="64"/>
      <c r="K40" s="66"/>
    </row>
    <row r="41" spans="1:11" s="65" customFormat="1" ht="28.5">
      <c r="A41" s="59"/>
      <c r="B41" s="60" t="s">
        <v>74</v>
      </c>
      <c r="C41" s="67" t="s">
        <v>75</v>
      </c>
      <c r="D41" s="61" t="s">
        <v>6</v>
      </c>
      <c r="E41" s="62">
        <v>8.137</v>
      </c>
      <c r="F41" s="62">
        <f>TRUNC(19.43,2)</f>
        <v>19.43</v>
      </c>
      <c r="G41" s="63">
        <f t="shared" si="0"/>
        <v>158.1</v>
      </c>
      <c r="H41" s="63"/>
      <c r="I41" s="64"/>
      <c r="K41" s="66"/>
    </row>
    <row r="42" spans="1:11" s="65" customFormat="1" ht="28.5">
      <c r="A42" s="59"/>
      <c r="B42" s="60" t="s">
        <v>81</v>
      </c>
      <c r="C42" s="67" t="s">
        <v>82</v>
      </c>
      <c r="D42" s="61" t="s">
        <v>6</v>
      </c>
      <c r="E42" s="62">
        <v>0.41200000000000003</v>
      </c>
      <c r="F42" s="62">
        <f>TRUNC(18.05,2)</f>
        <v>18.05</v>
      </c>
      <c r="G42" s="63">
        <f t="shared" si="0"/>
        <v>7.43</v>
      </c>
      <c r="H42" s="63"/>
      <c r="I42" s="64"/>
      <c r="K42" s="66"/>
    </row>
    <row r="43" spans="1:11" s="65" customFormat="1" ht="28.5">
      <c r="A43" s="59"/>
      <c r="B43" s="60" t="s">
        <v>72</v>
      </c>
      <c r="C43" s="67" t="s">
        <v>73</v>
      </c>
      <c r="D43" s="61" t="s">
        <v>6</v>
      </c>
      <c r="E43" s="62">
        <v>8.549000000000001</v>
      </c>
      <c r="F43" s="62">
        <f>TRUNC(13.08,2)</f>
        <v>13.08</v>
      </c>
      <c r="G43" s="63">
        <f t="shared" si="0"/>
        <v>111.82</v>
      </c>
      <c r="H43" s="63"/>
      <c r="I43" s="64"/>
      <c r="K43" s="66"/>
    </row>
    <row r="44" spans="1:11" s="65" customFormat="1" ht="14.25">
      <c r="A44" s="59"/>
      <c r="B44" s="60" t="s">
        <v>147</v>
      </c>
      <c r="C44" s="67" t="s">
        <v>360</v>
      </c>
      <c r="D44" s="61" t="s">
        <v>0</v>
      </c>
      <c r="E44" s="62">
        <v>1.65</v>
      </c>
      <c r="F44" s="62">
        <f>TRUNC(21.6761,2)</f>
        <v>21.67</v>
      </c>
      <c r="G44" s="63">
        <f t="shared" si="0"/>
        <v>35.75</v>
      </c>
      <c r="H44" s="63"/>
      <c r="I44" s="64"/>
      <c r="K44" s="66"/>
    </row>
    <row r="45" spans="1:11" s="65" customFormat="1" ht="14.25">
      <c r="A45" s="59"/>
      <c r="B45" s="60"/>
      <c r="C45" s="67"/>
      <c r="D45" s="61"/>
      <c r="E45" s="62" t="s">
        <v>7</v>
      </c>
      <c r="F45" s="62"/>
      <c r="G45" s="63">
        <f>TRUNC(SUM(G28:G44),2)</f>
        <v>344.06</v>
      </c>
      <c r="H45" s="63"/>
      <c r="I45" s="64"/>
      <c r="K45" s="66"/>
    </row>
    <row r="46" spans="1:11" s="65" customFormat="1" ht="42.75">
      <c r="A46" s="107" t="s">
        <v>11</v>
      </c>
      <c r="B46" s="108" t="s">
        <v>148</v>
      </c>
      <c r="C46" s="99" t="s">
        <v>149</v>
      </c>
      <c r="D46" s="110" t="s">
        <v>0</v>
      </c>
      <c r="E46" s="101">
        <v>258.94</v>
      </c>
      <c r="F46" s="112">
        <f>TRUNC(G50,2)</f>
        <v>8.23</v>
      </c>
      <c r="G46" s="101">
        <f>TRUNC(F46*1.2977,2)</f>
        <v>10.68</v>
      </c>
      <c r="H46" s="101">
        <f>TRUNC(F46*E46,2)</f>
        <v>2131.07</v>
      </c>
      <c r="I46" s="102">
        <f>TRUNC(E46*G46,2)</f>
        <v>2765.47</v>
      </c>
      <c r="J46" s="65">
        <v>258.94</v>
      </c>
      <c r="K46" s="66"/>
    </row>
    <row r="47" spans="1:11" s="65" customFormat="1" ht="28.5">
      <c r="A47" s="59"/>
      <c r="B47" s="60" t="s">
        <v>72</v>
      </c>
      <c r="C47" s="67" t="s">
        <v>73</v>
      </c>
      <c r="D47" s="61" t="s">
        <v>6</v>
      </c>
      <c r="E47" s="63">
        <v>0.515</v>
      </c>
      <c r="F47" s="62">
        <f>TRUNC(13.08,2)</f>
        <v>13.08</v>
      </c>
      <c r="G47" s="63">
        <f>TRUNC(E47*F47,2)</f>
        <v>6.73</v>
      </c>
      <c r="H47" s="63"/>
      <c r="I47" s="64"/>
      <c r="K47" s="66"/>
    </row>
    <row r="48" spans="1:11" s="65" customFormat="1" ht="14.25">
      <c r="A48" s="59"/>
      <c r="B48" s="60" t="s">
        <v>150</v>
      </c>
      <c r="C48" s="67" t="s">
        <v>112</v>
      </c>
      <c r="D48" s="61" t="s">
        <v>6</v>
      </c>
      <c r="E48" s="63">
        <v>0.004</v>
      </c>
      <c r="F48" s="62">
        <f>TRUNC(39.14,2)</f>
        <v>39.14</v>
      </c>
      <c r="G48" s="63">
        <f>TRUNC(E48*F48,2)</f>
        <v>0.15</v>
      </c>
      <c r="H48" s="63"/>
      <c r="I48" s="64"/>
      <c r="K48" s="66"/>
    </row>
    <row r="49" spans="1:11" s="65" customFormat="1" ht="14.25">
      <c r="A49" s="59"/>
      <c r="B49" s="60" t="s">
        <v>151</v>
      </c>
      <c r="C49" s="67" t="s">
        <v>111</v>
      </c>
      <c r="D49" s="61" t="s">
        <v>6</v>
      </c>
      <c r="E49" s="63">
        <v>0.016</v>
      </c>
      <c r="F49" s="62">
        <f>TRUNC(84.9927,2)</f>
        <v>84.99</v>
      </c>
      <c r="G49" s="63">
        <f>TRUNC(E49*F49,2)</f>
        <v>1.35</v>
      </c>
      <c r="H49" s="63"/>
      <c r="I49" s="64"/>
      <c r="K49" s="66"/>
    </row>
    <row r="50" spans="1:11" s="65" customFormat="1" ht="14.25">
      <c r="A50" s="59"/>
      <c r="B50" s="60"/>
      <c r="C50" s="67"/>
      <c r="D50" s="61"/>
      <c r="E50" s="63" t="s">
        <v>7</v>
      </c>
      <c r="F50" s="62"/>
      <c r="G50" s="63">
        <f>TRUNC(SUM(G47:G49),2)</f>
        <v>8.23</v>
      </c>
      <c r="H50" s="63"/>
      <c r="I50" s="64"/>
      <c r="K50" s="66"/>
    </row>
    <row r="51" spans="1:11" s="65" customFormat="1" ht="28.5">
      <c r="A51" s="107" t="s">
        <v>242</v>
      </c>
      <c r="B51" s="108" t="s">
        <v>521</v>
      </c>
      <c r="C51" s="99" t="s">
        <v>513</v>
      </c>
      <c r="D51" s="110" t="s">
        <v>3</v>
      </c>
      <c r="E51" s="112">
        <v>25.4</v>
      </c>
      <c r="F51" s="112">
        <f>TRUNC(G53,2)</f>
        <v>10.1</v>
      </c>
      <c r="G51" s="101">
        <f>TRUNC(F51*1.2977,2)</f>
        <v>13.1</v>
      </c>
      <c r="H51" s="101">
        <f>TRUNC(F51*E51,2)</f>
        <v>256.54</v>
      </c>
      <c r="I51" s="102">
        <f>TRUNC(E51*G51,2)</f>
        <v>332.74</v>
      </c>
      <c r="K51" s="66"/>
    </row>
    <row r="52" spans="1:11" s="65" customFormat="1" ht="28.5">
      <c r="A52" s="59"/>
      <c r="B52" s="60" t="s">
        <v>72</v>
      </c>
      <c r="C52" s="67" t="s">
        <v>73</v>
      </c>
      <c r="D52" s="61" t="s">
        <v>6</v>
      </c>
      <c r="E52" s="62">
        <v>0.7725</v>
      </c>
      <c r="F52" s="62">
        <f>TRUNC(13.08,2)</f>
        <v>13.08</v>
      </c>
      <c r="G52" s="63">
        <f>TRUNC(E52*F52,2)</f>
        <v>10.1</v>
      </c>
      <c r="H52" s="63"/>
      <c r="I52" s="64"/>
      <c r="K52" s="66"/>
    </row>
    <row r="53" spans="1:11" s="65" customFormat="1" ht="14.25">
      <c r="A53" s="59"/>
      <c r="B53" s="60"/>
      <c r="C53" s="67"/>
      <c r="D53" s="61"/>
      <c r="E53" s="62" t="s">
        <v>7</v>
      </c>
      <c r="F53" s="62"/>
      <c r="G53" s="63">
        <f>TRUNC(SUM(G52:G52),2)</f>
        <v>10.1</v>
      </c>
      <c r="H53" s="63"/>
      <c r="I53" s="64"/>
      <c r="K53" s="66"/>
    </row>
    <row r="54" spans="1:11" s="65" customFormat="1" ht="42.75">
      <c r="A54" s="107" t="s">
        <v>374</v>
      </c>
      <c r="B54" s="108" t="s">
        <v>522</v>
      </c>
      <c r="C54" s="99" t="s">
        <v>500</v>
      </c>
      <c r="D54" s="110" t="s">
        <v>6</v>
      </c>
      <c r="E54" s="112">
        <v>16</v>
      </c>
      <c r="F54" s="112">
        <f>TRUNC(G60,2)</f>
        <v>48.68</v>
      </c>
      <c r="G54" s="101">
        <f>TRUNC(F54*1.2977,2)</f>
        <v>63.17</v>
      </c>
      <c r="H54" s="101">
        <f>TRUNC(F54*E54,2)</f>
        <v>778.88</v>
      </c>
      <c r="I54" s="102">
        <f>TRUNC(E54*G54,2)</f>
        <v>1010.72</v>
      </c>
      <c r="J54" s="102"/>
      <c r="K54" s="66"/>
    </row>
    <row r="55" spans="1:11" s="65" customFormat="1" ht="14.25">
      <c r="A55" s="59"/>
      <c r="B55" s="60" t="s">
        <v>501</v>
      </c>
      <c r="C55" s="67" t="s">
        <v>502</v>
      </c>
      <c r="D55" s="61" t="s">
        <v>5</v>
      </c>
      <c r="E55" s="62">
        <v>0.02</v>
      </c>
      <c r="F55" s="62">
        <f>TRUNC(5.6,2)</f>
        <v>5.6</v>
      </c>
      <c r="G55" s="63">
        <f>TRUNC(E55*F55,2)</f>
        <v>0.11</v>
      </c>
      <c r="H55" s="81"/>
      <c r="I55" s="64"/>
      <c r="J55" s="64"/>
      <c r="K55" s="66"/>
    </row>
    <row r="56" spans="1:11" s="65" customFormat="1" ht="14.25">
      <c r="A56" s="59"/>
      <c r="B56" s="60" t="s">
        <v>503</v>
      </c>
      <c r="C56" s="67" t="s">
        <v>504</v>
      </c>
      <c r="D56" s="61" t="s">
        <v>505</v>
      </c>
      <c r="E56" s="62">
        <v>0.06</v>
      </c>
      <c r="F56" s="62">
        <f>TRUNC(8,2)</f>
        <v>8</v>
      </c>
      <c r="G56" s="63">
        <f>TRUNC(E56*F56,2)</f>
        <v>0.48</v>
      </c>
      <c r="H56" s="81"/>
      <c r="I56" s="64"/>
      <c r="J56" s="64"/>
      <c r="K56" s="66"/>
    </row>
    <row r="57" spans="1:11" s="65" customFormat="1" ht="14.25">
      <c r="A57" s="59"/>
      <c r="B57" s="60" t="s">
        <v>506</v>
      </c>
      <c r="C57" s="67" t="s">
        <v>507</v>
      </c>
      <c r="D57" s="61" t="s">
        <v>505</v>
      </c>
      <c r="E57" s="62">
        <v>1.1</v>
      </c>
      <c r="F57" s="62">
        <f>TRUNC(3.545,2)</f>
        <v>3.54</v>
      </c>
      <c r="G57" s="63">
        <f>TRUNC(E57*F57,2)</f>
        <v>3.89</v>
      </c>
      <c r="H57" s="81"/>
      <c r="I57" s="64"/>
      <c r="J57" s="64"/>
      <c r="K57" s="66"/>
    </row>
    <row r="58" spans="1:11" s="65" customFormat="1" ht="28.5">
      <c r="A58" s="59"/>
      <c r="B58" s="60" t="s">
        <v>523</v>
      </c>
      <c r="C58" s="67" t="s">
        <v>524</v>
      </c>
      <c r="D58" s="61" t="s">
        <v>6</v>
      </c>
      <c r="E58" s="62">
        <v>1</v>
      </c>
      <c r="F58" s="62">
        <f>TRUNC(20.29,2)</f>
        <v>20.29</v>
      </c>
      <c r="G58" s="63">
        <f>TRUNC(E58*F58,2)</f>
        <v>20.29</v>
      </c>
      <c r="H58" s="81"/>
      <c r="I58" s="64"/>
      <c r="J58" s="64"/>
      <c r="K58" s="66"/>
    </row>
    <row r="59" spans="1:11" s="65" customFormat="1" ht="28.5">
      <c r="A59" s="59"/>
      <c r="B59" s="60" t="s">
        <v>510</v>
      </c>
      <c r="C59" s="67" t="s">
        <v>511</v>
      </c>
      <c r="D59" s="61" t="s">
        <v>12</v>
      </c>
      <c r="E59" s="62">
        <v>0.0001</v>
      </c>
      <c r="F59" s="62">
        <f>TRUNC(239156,2)</f>
        <v>239156</v>
      </c>
      <c r="G59" s="63">
        <f>TRUNC(E59*F59,2)</f>
        <v>23.91</v>
      </c>
      <c r="H59" s="81"/>
      <c r="I59" s="64"/>
      <c r="J59" s="64"/>
      <c r="K59" s="66"/>
    </row>
    <row r="60" spans="1:11" s="65" customFormat="1" ht="14.25">
      <c r="A60" s="59"/>
      <c r="B60" s="60"/>
      <c r="C60" s="67"/>
      <c r="D60" s="61"/>
      <c r="E60" s="62" t="s">
        <v>7</v>
      </c>
      <c r="F60" s="62"/>
      <c r="G60" s="63">
        <f>TRUNC(SUM(G55:G59),2)</f>
        <v>48.68</v>
      </c>
      <c r="H60" s="81"/>
      <c r="I60" s="64"/>
      <c r="J60" s="64"/>
      <c r="K60" s="66"/>
    </row>
    <row r="61" spans="1:11" s="65" customFormat="1" ht="14.25">
      <c r="A61" s="107" t="s">
        <v>534</v>
      </c>
      <c r="B61" s="108" t="s">
        <v>704</v>
      </c>
      <c r="C61" s="99" t="s">
        <v>443</v>
      </c>
      <c r="D61" s="110" t="s">
        <v>12</v>
      </c>
      <c r="E61" s="112">
        <v>1</v>
      </c>
      <c r="F61" s="112">
        <f>TRUNC(G81,2)</f>
        <v>1473.79</v>
      </c>
      <c r="G61" s="101">
        <f>TRUNC(F61*1.2977,2)</f>
        <v>1912.53</v>
      </c>
      <c r="H61" s="101">
        <f>TRUNC(F61*E61,2)</f>
        <v>1473.79</v>
      </c>
      <c r="I61" s="102">
        <f>TRUNC(E61*G61,2)</f>
        <v>1912.53</v>
      </c>
      <c r="K61" s="66"/>
    </row>
    <row r="62" spans="1:11" s="65" customFormat="1" ht="28.5">
      <c r="A62" s="59"/>
      <c r="B62" s="60" t="s">
        <v>705</v>
      </c>
      <c r="C62" s="67" t="s">
        <v>444</v>
      </c>
      <c r="D62" s="61" t="s">
        <v>3</v>
      </c>
      <c r="E62" s="62">
        <v>7.96</v>
      </c>
      <c r="F62" s="62">
        <f>TRUNC(54.28,2)</f>
        <v>54.28</v>
      </c>
      <c r="G62" s="63">
        <f aca="true" t="shared" si="1" ref="G62:G80">TRUNC(E62*F62,2)</f>
        <v>432.06</v>
      </c>
      <c r="H62" s="63"/>
      <c r="I62" s="64"/>
      <c r="K62" s="66"/>
    </row>
    <row r="63" spans="1:11" s="65" customFormat="1" ht="28.5">
      <c r="A63" s="59"/>
      <c r="B63" s="60" t="s">
        <v>706</v>
      </c>
      <c r="C63" s="67" t="s">
        <v>445</v>
      </c>
      <c r="D63" s="61" t="s">
        <v>12</v>
      </c>
      <c r="E63" s="62">
        <v>2</v>
      </c>
      <c r="F63" s="62">
        <f>TRUNC(19.77,2)</f>
        <v>19.77</v>
      </c>
      <c r="G63" s="63">
        <f t="shared" si="1"/>
        <v>39.54</v>
      </c>
      <c r="H63" s="63"/>
      <c r="I63" s="64"/>
      <c r="K63" s="66"/>
    </row>
    <row r="64" spans="1:11" s="65" customFormat="1" ht="14.25">
      <c r="A64" s="59"/>
      <c r="B64" s="60" t="s">
        <v>707</v>
      </c>
      <c r="C64" s="67" t="s">
        <v>446</v>
      </c>
      <c r="D64" s="61" t="s">
        <v>3</v>
      </c>
      <c r="E64" s="62">
        <v>3</v>
      </c>
      <c r="F64" s="62">
        <f>TRUNC(9.54,2)</f>
        <v>9.54</v>
      </c>
      <c r="G64" s="63">
        <f t="shared" si="1"/>
        <v>28.62</v>
      </c>
      <c r="H64" s="63"/>
      <c r="I64" s="64"/>
      <c r="K64" s="66"/>
    </row>
    <row r="65" spans="1:11" s="65" customFormat="1" ht="28.5">
      <c r="A65" s="59"/>
      <c r="B65" s="60" t="s">
        <v>708</v>
      </c>
      <c r="C65" s="67" t="s">
        <v>447</v>
      </c>
      <c r="D65" s="61" t="s">
        <v>3</v>
      </c>
      <c r="E65" s="62">
        <v>27</v>
      </c>
      <c r="F65" s="62">
        <f>TRUNC(5.17,2)</f>
        <v>5.17</v>
      </c>
      <c r="G65" s="63">
        <f t="shared" si="1"/>
        <v>139.59</v>
      </c>
      <c r="H65" s="63"/>
      <c r="I65" s="64"/>
      <c r="K65" s="66"/>
    </row>
    <row r="66" spans="1:11" s="65" customFormat="1" ht="28.5">
      <c r="A66" s="59"/>
      <c r="B66" s="60" t="s">
        <v>709</v>
      </c>
      <c r="C66" s="67" t="s">
        <v>448</v>
      </c>
      <c r="D66" s="61" t="s">
        <v>12</v>
      </c>
      <c r="E66" s="62">
        <v>1</v>
      </c>
      <c r="F66" s="62">
        <f>TRUNC(89.66,2)</f>
        <v>89.66</v>
      </c>
      <c r="G66" s="63">
        <f t="shared" si="1"/>
        <v>89.66</v>
      </c>
      <c r="H66" s="63"/>
      <c r="I66" s="64"/>
      <c r="K66" s="66"/>
    </row>
    <row r="67" spans="1:11" s="65" customFormat="1" ht="28.5">
      <c r="A67" s="59"/>
      <c r="B67" s="60" t="s">
        <v>710</v>
      </c>
      <c r="C67" s="67" t="s">
        <v>449</v>
      </c>
      <c r="D67" s="61" t="s">
        <v>12</v>
      </c>
      <c r="E67" s="62">
        <v>2</v>
      </c>
      <c r="F67" s="62">
        <f>TRUNC(65.6,2)</f>
        <v>65.6</v>
      </c>
      <c r="G67" s="63">
        <f t="shared" si="1"/>
        <v>131.2</v>
      </c>
      <c r="H67" s="63"/>
      <c r="I67" s="64"/>
      <c r="K67" s="66"/>
    </row>
    <row r="68" spans="1:11" s="65" customFormat="1" ht="14.25">
      <c r="A68" s="59"/>
      <c r="B68" s="60" t="s">
        <v>711</v>
      </c>
      <c r="C68" s="67" t="s">
        <v>450</v>
      </c>
      <c r="D68" s="61" t="s">
        <v>12</v>
      </c>
      <c r="E68" s="62">
        <v>8</v>
      </c>
      <c r="F68" s="62">
        <f>TRUNC(4.65,2)</f>
        <v>4.65</v>
      </c>
      <c r="G68" s="63">
        <f t="shared" si="1"/>
        <v>37.2</v>
      </c>
      <c r="H68" s="63"/>
      <c r="I68" s="64"/>
      <c r="K68" s="66"/>
    </row>
    <row r="69" spans="1:11" s="65" customFormat="1" ht="14.25">
      <c r="A69" s="59"/>
      <c r="B69" s="60" t="s">
        <v>712</v>
      </c>
      <c r="C69" s="67" t="s">
        <v>451</v>
      </c>
      <c r="D69" s="61" t="s">
        <v>12</v>
      </c>
      <c r="E69" s="62">
        <v>4</v>
      </c>
      <c r="F69" s="62">
        <f>TRUNC(1.37,2)</f>
        <v>1.37</v>
      </c>
      <c r="G69" s="63">
        <f t="shared" si="1"/>
        <v>5.48</v>
      </c>
      <c r="H69" s="63"/>
      <c r="I69" s="64"/>
      <c r="K69" s="66"/>
    </row>
    <row r="70" spans="1:11" s="65" customFormat="1" ht="14.25">
      <c r="A70" s="59"/>
      <c r="B70" s="60" t="s">
        <v>713</v>
      </c>
      <c r="C70" s="67" t="s">
        <v>452</v>
      </c>
      <c r="D70" s="61" t="s">
        <v>12</v>
      </c>
      <c r="E70" s="62">
        <v>0.1333333</v>
      </c>
      <c r="F70" s="62">
        <f>TRUNC(63.35,2)</f>
        <v>63.35</v>
      </c>
      <c r="G70" s="63">
        <f t="shared" si="1"/>
        <v>8.44</v>
      </c>
      <c r="H70" s="63"/>
      <c r="I70" s="64"/>
      <c r="K70" s="66"/>
    </row>
    <row r="71" spans="1:11" s="65" customFormat="1" ht="14.25">
      <c r="A71" s="59"/>
      <c r="B71" s="60" t="s">
        <v>714</v>
      </c>
      <c r="C71" s="67" t="s">
        <v>453</v>
      </c>
      <c r="D71" s="61" t="s">
        <v>3</v>
      </c>
      <c r="E71" s="62">
        <v>8</v>
      </c>
      <c r="F71" s="62">
        <f>TRUNC(4.86,2)</f>
        <v>4.86</v>
      </c>
      <c r="G71" s="63">
        <f t="shared" si="1"/>
        <v>38.88</v>
      </c>
      <c r="H71" s="63"/>
      <c r="I71" s="64"/>
      <c r="K71" s="66"/>
    </row>
    <row r="72" spans="1:11" s="65" customFormat="1" ht="28.5">
      <c r="A72" s="59"/>
      <c r="B72" s="60" t="s">
        <v>715</v>
      </c>
      <c r="C72" s="67" t="s">
        <v>454</v>
      </c>
      <c r="D72" s="61" t="s">
        <v>12</v>
      </c>
      <c r="E72" s="62">
        <v>1</v>
      </c>
      <c r="F72" s="62">
        <f>TRUNC(48.36,2)</f>
        <v>48.36</v>
      </c>
      <c r="G72" s="63">
        <f t="shared" si="1"/>
        <v>48.36</v>
      </c>
      <c r="H72" s="63"/>
      <c r="I72" s="64"/>
      <c r="K72" s="66"/>
    </row>
    <row r="73" spans="1:11" s="65" customFormat="1" ht="28.5">
      <c r="A73" s="59"/>
      <c r="B73" s="60" t="s">
        <v>716</v>
      </c>
      <c r="C73" s="67" t="s">
        <v>455</v>
      </c>
      <c r="D73" s="61" t="s">
        <v>12</v>
      </c>
      <c r="E73" s="62">
        <v>2</v>
      </c>
      <c r="F73" s="62">
        <f>TRUNC(7.03,2)</f>
        <v>7.03</v>
      </c>
      <c r="G73" s="63">
        <f t="shared" si="1"/>
        <v>14.06</v>
      </c>
      <c r="H73" s="63"/>
      <c r="I73" s="64"/>
      <c r="K73" s="66"/>
    </row>
    <row r="74" spans="1:11" s="65" customFormat="1" ht="28.5">
      <c r="A74" s="59"/>
      <c r="B74" s="60" t="s">
        <v>717</v>
      </c>
      <c r="C74" s="67" t="s">
        <v>456</v>
      </c>
      <c r="D74" s="61" t="s">
        <v>12</v>
      </c>
      <c r="E74" s="62">
        <v>2</v>
      </c>
      <c r="F74" s="62">
        <f>TRUNC(7.35,2)</f>
        <v>7.35</v>
      </c>
      <c r="G74" s="63">
        <f t="shared" si="1"/>
        <v>14.7</v>
      </c>
      <c r="H74" s="63"/>
      <c r="I74" s="64"/>
      <c r="K74" s="66"/>
    </row>
    <row r="75" spans="1:11" s="65" customFormat="1" ht="14.25">
      <c r="A75" s="59"/>
      <c r="B75" s="60" t="s">
        <v>718</v>
      </c>
      <c r="C75" s="67" t="s">
        <v>457</v>
      </c>
      <c r="D75" s="61" t="s">
        <v>12</v>
      </c>
      <c r="E75" s="62">
        <v>2</v>
      </c>
      <c r="F75" s="62">
        <f>TRUNC(3.89,2)</f>
        <v>3.89</v>
      </c>
      <c r="G75" s="63">
        <f t="shared" si="1"/>
        <v>7.78</v>
      </c>
      <c r="H75" s="63"/>
      <c r="I75" s="64"/>
      <c r="K75" s="66"/>
    </row>
    <row r="76" spans="1:11" s="65" customFormat="1" ht="14.25">
      <c r="A76" s="59"/>
      <c r="B76" s="60" t="s">
        <v>719</v>
      </c>
      <c r="C76" s="67" t="s">
        <v>458</v>
      </c>
      <c r="D76" s="61" t="s">
        <v>12</v>
      </c>
      <c r="E76" s="62">
        <v>2</v>
      </c>
      <c r="F76" s="62">
        <f>TRUNC(0.94,2)</f>
        <v>0.94</v>
      </c>
      <c r="G76" s="63">
        <f t="shared" si="1"/>
        <v>1.88</v>
      </c>
      <c r="H76" s="63"/>
      <c r="I76" s="64"/>
      <c r="K76" s="66"/>
    </row>
    <row r="77" spans="1:11" s="65" customFormat="1" ht="14.25">
      <c r="A77" s="59"/>
      <c r="B77" s="60" t="s">
        <v>720</v>
      </c>
      <c r="C77" s="67" t="s">
        <v>459</v>
      </c>
      <c r="D77" s="61" t="s">
        <v>12</v>
      </c>
      <c r="E77" s="62">
        <v>2</v>
      </c>
      <c r="F77" s="62">
        <f>TRUNC(0.7,2)</f>
        <v>0.7</v>
      </c>
      <c r="G77" s="63">
        <f t="shared" si="1"/>
        <v>1.4</v>
      </c>
      <c r="H77" s="63"/>
      <c r="I77" s="64"/>
      <c r="K77" s="66"/>
    </row>
    <row r="78" spans="1:11" s="65" customFormat="1" ht="14.25">
      <c r="A78" s="59"/>
      <c r="B78" s="60" t="s">
        <v>721</v>
      </c>
      <c r="C78" s="67" t="s">
        <v>460</v>
      </c>
      <c r="D78" s="61" t="s">
        <v>12</v>
      </c>
      <c r="E78" s="62">
        <v>1</v>
      </c>
      <c r="F78" s="62">
        <f>TRUNC(74.78,2)</f>
        <v>74.78</v>
      </c>
      <c r="G78" s="63">
        <f t="shared" si="1"/>
        <v>74.78</v>
      </c>
      <c r="H78" s="63"/>
      <c r="I78" s="64"/>
      <c r="K78" s="66"/>
    </row>
    <row r="79" spans="1:11" s="65" customFormat="1" ht="14.25">
      <c r="A79" s="59"/>
      <c r="B79" s="60" t="s">
        <v>722</v>
      </c>
      <c r="C79" s="67" t="s">
        <v>127</v>
      </c>
      <c r="D79" s="61" t="s">
        <v>6</v>
      </c>
      <c r="E79" s="62">
        <v>8</v>
      </c>
      <c r="F79" s="62">
        <f>TRUNC(19.85,2)</f>
        <v>19.85</v>
      </c>
      <c r="G79" s="63">
        <f t="shared" si="1"/>
        <v>158.8</v>
      </c>
      <c r="H79" s="63"/>
      <c r="I79" s="64"/>
      <c r="K79" s="66"/>
    </row>
    <row r="80" spans="1:11" s="65" customFormat="1" ht="14.25">
      <c r="A80" s="59"/>
      <c r="B80" s="60" t="s">
        <v>723</v>
      </c>
      <c r="C80" s="67" t="s">
        <v>296</v>
      </c>
      <c r="D80" s="61" t="s">
        <v>6</v>
      </c>
      <c r="E80" s="62">
        <v>8</v>
      </c>
      <c r="F80" s="62">
        <f>TRUNC(25.17,2)</f>
        <v>25.17</v>
      </c>
      <c r="G80" s="63">
        <f t="shared" si="1"/>
        <v>201.36</v>
      </c>
      <c r="H80" s="63"/>
      <c r="I80" s="64"/>
      <c r="K80" s="66"/>
    </row>
    <row r="81" spans="1:11" s="65" customFormat="1" ht="14.25">
      <c r="A81" s="59"/>
      <c r="B81" s="60"/>
      <c r="C81" s="67"/>
      <c r="D81" s="61"/>
      <c r="E81" s="62" t="s">
        <v>7</v>
      </c>
      <c r="F81" s="62"/>
      <c r="G81" s="63">
        <f>TRUNC(SUM(G62:G80),2)</f>
        <v>1473.79</v>
      </c>
      <c r="H81" s="63"/>
      <c r="I81" s="64"/>
      <c r="K81" s="66"/>
    </row>
    <row r="82" spans="1:11" s="65" customFormat="1" ht="42.75">
      <c r="A82" s="107" t="s">
        <v>535</v>
      </c>
      <c r="B82" s="108" t="s">
        <v>442</v>
      </c>
      <c r="C82" s="99" t="s">
        <v>461</v>
      </c>
      <c r="D82" s="110" t="s">
        <v>12</v>
      </c>
      <c r="E82" s="112">
        <v>1</v>
      </c>
      <c r="F82" s="112">
        <f>TRUNC(G99,2)</f>
        <v>2946.48</v>
      </c>
      <c r="G82" s="101">
        <f>TRUNC(F82*1.2977,2)</f>
        <v>3823.64</v>
      </c>
      <c r="H82" s="101">
        <f>TRUNC(F82*E82,2)</f>
        <v>2946.48</v>
      </c>
      <c r="I82" s="102">
        <f>TRUNC(E82*G82,2)</f>
        <v>3823.64</v>
      </c>
      <c r="K82" s="66"/>
    </row>
    <row r="83" spans="1:11" s="65" customFormat="1" ht="14.25">
      <c r="A83" s="59"/>
      <c r="B83" s="60" t="s">
        <v>462</v>
      </c>
      <c r="C83" s="67" t="s">
        <v>463</v>
      </c>
      <c r="D83" s="61" t="s">
        <v>12</v>
      </c>
      <c r="E83" s="62">
        <v>1</v>
      </c>
      <c r="F83" s="62">
        <f>TRUNC(10.4,2)</f>
        <v>10.4</v>
      </c>
      <c r="G83" s="63">
        <f aca="true" t="shared" si="2" ref="G83:G98">TRUNC(E83*F83,2)</f>
        <v>10.4</v>
      </c>
      <c r="H83" s="63"/>
      <c r="I83" s="64"/>
      <c r="K83" s="66"/>
    </row>
    <row r="84" spans="1:11" s="65" customFormat="1" ht="14.25">
      <c r="A84" s="59"/>
      <c r="B84" s="60" t="s">
        <v>2</v>
      </c>
      <c r="C84" s="67" t="s">
        <v>382</v>
      </c>
      <c r="D84" s="61" t="s">
        <v>3</v>
      </c>
      <c r="E84" s="62">
        <v>25</v>
      </c>
      <c r="F84" s="62">
        <f>TRUNC(3.796,2)</f>
        <v>3.79</v>
      </c>
      <c r="G84" s="63">
        <f t="shared" si="2"/>
        <v>94.75</v>
      </c>
      <c r="H84" s="63"/>
      <c r="I84" s="64"/>
      <c r="K84" s="66"/>
    </row>
    <row r="85" spans="1:11" s="65" customFormat="1" ht="28.5">
      <c r="A85" s="59"/>
      <c r="B85" s="60" t="s">
        <v>4</v>
      </c>
      <c r="C85" s="67" t="s">
        <v>71</v>
      </c>
      <c r="D85" s="61" t="s">
        <v>5</v>
      </c>
      <c r="E85" s="62">
        <v>1</v>
      </c>
      <c r="F85" s="62">
        <f>TRUNC(8.55,2)</f>
        <v>8.55</v>
      </c>
      <c r="G85" s="63">
        <f t="shared" si="2"/>
        <v>8.55</v>
      </c>
      <c r="H85" s="63"/>
      <c r="I85" s="64"/>
      <c r="K85" s="66"/>
    </row>
    <row r="86" spans="1:11" s="65" customFormat="1" ht="14.25">
      <c r="A86" s="59"/>
      <c r="B86" s="60" t="s">
        <v>346</v>
      </c>
      <c r="C86" s="67" t="s">
        <v>347</v>
      </c>
      <c r="D86" s="61" t="s">
        <v>12</v>
      </c>
      <c r="E86" s="62">
        <v>30</v>
      </c>
      <c r="F86" s="62">
        <f>TRUNC(0.48,2)</f>
        <v>0.48</v>
      </c>
      <c r="G86" s="63">
        <f t="shared" si="2"/>
        <v>14.4</v>
      </c>
      <c r="H86" s="63"/>
      <c r="I86" s="64"/>
      <c r="K86" s="66"/>
    </row>
    <row r="87" spans="1:11" s="65" customFormat="1" ht="14.25">
      <c r="A87" s="59"/>
      <c r="B87" s="60" t="s">
        <v>464</v>
      </c>
      <c r="C87" s="67" t="s">
        <v>465</v>
      </c>
      <c r="D87" s="61" t="s">
        <v>12</v>
      </c>
      <c r="E87" s="62">
        <v>1</v>
      </c>
      <c r="F87" s="62">
        <f>TRUNC(23.4909,2)</f>
        <v>23.49</v>
      </c>
      <c r="G87" s="63">
        <f t="shared" si="2"/>
        <v>23.49</v>
      </c>
      <c r="H87" s="63"/>
      <c r="I87" s="64"/>
      <c r="K87" s="66"/>
    </row>
    <row r="88" spans="1:11" s="65" customFormat="1" ht="14.25">
      <c r="A88" s="59"/>
      <c r="B88" s="60" t="s">
        <v>466</v>
      </c>
      <c r="C88" s="67" t="s">
        <v>467</v>
      </c>
      <c r="D88" s="61" t="s">
        <v>3</v>
      </c>
      <c r="E88" s="62">
        <v>30</v>
      </c>
      <c r="F88" s="62">
        <f>TRUNC(16.0989,2)</f>
        <v>16.09</v>
      </c>
      <c r="G88" s="63">
        <f t="shared" si="2"/>
        <v>482.7</v>
      </c>
      <c r="H88" s="63"/>
      <c r="I88" s="64"/>
      <c r="K88" s="66"/>
    </row>
    <row r="89" spans="1:11" s="65" customFormat="1" ht="14.25">
      <c r="A89" s="59"/>
      <c r="B89" s="60" t="s">
        <v>468</v>
      </c>
      <c r="C89" s="67" t="s">
        <v>469</v>
      </c>
      <c r="D89" s="61" t="s">
        <v>3</v>
      </c>
      <c r="E89" s="62">
        <v>3.44</v>
      </c>
      <c r="F89" s="62">
        <f>TRUNC(9.96,2)</f>
        <v>9.96</v>
      </c>
      <c r="G89" s="63">
        <f t="shared" si="2"/>
        <v>34.26</v>
      </c>
      <c r="H89" s="63"/>
      <c r="I89" s="64"/>
      <c r="K89" s="66"/>
    </row>
    <row r="90" spans="1:11" s="65" customFormat="1" ht="14.25">
      <c r="A90" s="59"/>
      <c r="B90" s="60" t="s">
        <v>470</v>
      </c>
      <c r="C90" s="67" t="s">
        <v>471</v>
      </c>
      <c r="D90" s="61" t="s">
        <v>12</v>
      </c>
      <c r="E90" s="62">
        <v>1</v>
      </c>
      <c r="F90" s="62">
        <f>TRUNC(240,2)</f>
        <v>240</v>
      </c>
      <c r="G90" s="63">
        <f t="shared" si="2"/>
        <v>240</v>
      </c>
      <c r="H90" s="63"/>
      <c r="I90" s="64"/>
      <c r="K90" s="66"/>
    </row>
    <row r="91" spans="1:11" s="65" customFormat="1" ht="28.5">
      <c r="A91" s="59"/>
      <c r="B91" s="60" t="s">
        <v>472</v>
      </c>
      <c r="C91" s="67" t="s">
        <v>473</v>
      </c>
      <c r="D91" s="61" t="s">
        <v>6</v>
      </c>
      <c r="E91" s="62">
        <v>11.33</v>
      </c>
      <c r="F91" s="62">
        <f>TRUNC(18.05,2)</f>
        <v>18.05</v>
      </c>
      <c r="G91" s="63">
        <f t="shared" si="2"/>
        <v>204.5</v>
      </c>
      <c r="H91" s="63"/>
      <c r="I91" s="64"/>
      <c r="K91" s="66"/>
    </row>
    <row r="92" spans="1:11" s="65" customFormat="1" ht="28.5">
      <c r="A92" s="59"/>
      <c r="B92" s="60" t="s">
        <v>74</v>
      </c>
      <c r="C92" s="67" t="s">
        <v>75</v>
      </c>
      <c r="D92" s="61" t="s">
        <v>6</v>
      </c>
      <c r="E92" s="62">
        <v>8.24</v>
      </c>
      <c r="F92" s="62">
        <f>TRUNC(19.43,2)</f>
        <v>19.43</v>
      </c>
      <c r="G92" s="63">
        <f t="shared" si="2"/>
        <v>160.1</v>
      </c>
      <c r="H92" s="63"/>
      <c r="I92" s="64"/>
      <c r="K92" s="66"/>
    </row>
    <row r="93" spans="1:11" s="65" customFormat="1" ht="14.25">
      <c r="A93" s="59"/>
      <c r="B93" s="60" t="s">
        <v>83</v>
      </c>
      <c r="C93" s="67" t="s">
        <v>84</v>
      </c>
      <c r="D93" s="61" t="s">
        <v>6</v>
      </c>
      <c r="E93" s="62">
        <v>8.24</v>
      </c>
      <c r="F93" s="62">
        <f>TRUNC(18.05,2)</f>
        <v>18.05</v>
      </c>
      <c r="G93" s="63">
        <f t="shared" si="2"/>
        <v>148.73</v>
      </c>
      <c r="H93" s="63"/>
      <c r="I93" s="64"/>
      <c r="K93" s="66"/>
    </row>
    <row r="94" spans="1:11" s="65" customFormat="1" ht="28.5">
      <c r="A94" s="59"/>
      <c r="B94" s="60" t="s">
        <v>72</v>
      </c>
      <c r="C94" s="67" t="s">
        <v>73</v>
      </c>
      <c r="D94" s="61" t="s">
        <v>6</v>
      </c>
      <c r="E94" s="62">
        <v>8.24</v>
      </c>
      <c r="F94" s="62">
        <f>TRUNC(13.08,2)</f>
        <v>13.08</v>
      </c>
      <c r="G94" s="63">
        <f t="shared" si="2"/>
        <v>107.77</v>
      </c>
      <c r="H94" s="63"/>
      <c r="I94" s="64"/>
      <c r="K94" s="66"/>
    </row>
    <row r="95" spans="1:11" s="65" customFormat="1" ht="28.5">
      <c r="A95" s="59"/>
      <c r="B95" s="60" t="s">
        <v>474</v>
      </c>
      <c r="C95" s="67" t="s">
        <v>475</v>
      </c>
      <c r="D95" s="61" t="s">
        <v>12</v>
      </c>
      <c r="E95" s="62">
        <v>1</v>
      </c>
      <c r="F95" s="62">
        <f>TRUNC(828.15,2)</f>
        <v>828.15</v>
      </c>
      <c r="G95" s="63">
        <f t="shared" si="2"/>
        <v>828.15</v>
      </c>
      <c r="H95" s="63"/>
      <c r="I95" s="64"/>
      <c r="K95" s="66"/>
    </row>
    <row r="96" spans="1:11" s="65" customFormat="1" ht="14.25">
      <c r="A96" s="59"/>
      <c r="B96" s="60" t="s">
        <v>147</v>
      </c>
      <c r="C96" s="67" t="s">
        <v>360</v>
      </c>
      <c r="D96" s="61" t="s">
        <v>0</v>
      </c>
      <c r="E96" s="62">
        <v>8</v>
      </c>
      <c r="F96" s="62">
        <f>TRUNC(21.6761,2)</f>
        <v>21.67</v>
      </c>
      <c r="G96" s="63">
        <f t="shared" si="2"/>
        <v>173.36</v>
      </c>
      <c r="H96" s="63"/>
      <c r="I96" s="64"/>
      <c r="K96" s="66"/>
    </row>
    <row r="97" spans="1:11" s="65" customFormat="1" ht="14.25">
      <c r="A97" s="59"/>
      <c r="B97" s="60" t="s">
        <v>293</v>
      </c>
      <c r="C97" s="67" t="s">
        <v>294</v>
      </c>
      <c r="D97" s="61" t="s">
        <v>1</v>
      </c>
      <c r="E97" s="62">
        <v>0.018</v>
      </c>
      <c r="F97" s="62">
        <f>TRUNC(266.0371,2)</f>
        <v>266.03</v>
      </c>
      <c r="G97" s="63">
        <f t="shared" si="2"/>
        <v>4.78</v>
      </c>
      <c r="H97" s="63"/>
      <c r="I97" s="64"/>
      <c r="K97" s="66"/>
    </row>
    <row r="98" spans="1:11" s="65" customFormat="1" ht="14.25">
      <c r="A98" s="59"/>
      <c r="B98" s="60" t="s">
        <v>476</v>
      </c>
      <c r="C98" s="67" t="s">
        <v>477</v>
      </c>
      <c r="D98" s="61" t="s">
        <v>12</v>
      </c>
      <c r="E98" s="62">
        <v>1</v>
      </c>
      <c r="F98" s="62">
        <f>TRUNC(410.5447,2)</f>
        <v>410.54</v>
      </c>
      <c r="G98" s="63">
        <f t="shared" si="2"/>
        <v>410.54</v>
      </c>
      <c r="H98" s="63"/>
      <c r="I98" s="64"/>
      <c r="K98" s="66"/>
    </row>
    <row r="99" spans="1:11" s="65" customFormat="1" ht="14.25">
      <c r="A99" s="59"/>
      <c r="B99" s="60"/>
      <c r="C99" s="67"/>
      <c r="D99" s="61"/>
      <c r="E99" s="62" t="s">
        <v>7</v>
      </c>
      <c r="F99" s="62"/>
      <c r="G99" s="63">
        <f>TRUNC(SUM(G83:G98),2)</f>
        <v>2946.48</v>
      </c>
      <c r="H99" s="63"/>
      <c r="I99" s="64"/>
      <c r="K99" s="66"/>
    </row>
    <row r="100" spans="1:11" s="65" customFormat="1" ht="42.75">
      <c r="A100" s="107" t="s">
        <v>482</v>
      </c>
      <c r="B100" s="108" t="s">
        <v>380</v>
      </c>
      <c r="C100" s="99" t="s">
        <v>381</v>
      </c>
      <c r="D100" s="110" t="s">
        <v>3</v>
      </c>
      <c r="E100" s="112">
        <v>60.4</v>
      </c>
      <c r="F100" s="112">
        <f>TRUNC(G109,2)</f>
        <v>16.19</v>
      </c>
      <c r="G100" s="101">
        <f>TRUNC(F100*1.2977,2)</f>
        <v>21</v>
      </c>
      <c r="H100" s="101">
        <f>TRUNC(F100*E100,2)</f>
        <v>977.87</v>
      </c>
      <c r="I100" s="102">
        <f>TRUNC(E100*G100,2)</f>
        <v>1268.4</v>
      </c>
      <c r="K100" s="66"/>
    </row>
    <row r="101" spans="1:11" s="65" customFormat="1" ht="28.5">
      <c r="A101" s="59"/>
      <c r="B101" s="60" t="s">
        <v>4</v>
      </c>
      <c r="C101" s="67" t="s">
        <v>71</v>
      </c>
      <c r="D101" s="61" t="s">
        <v>5</v>
      </c>
      <c r="E101" s="62">
        <v>0.015</v>
      </c>
      <c r="F101" s="62">
        <f>TRUNC(8.55,2)</f>
        <v>8.55</v>
      </c>
      <c r="G101" s="63">
        <f aca="true" t="shared" si="3" ref="G101:G108">TRUNC(E101*F101,2)</f>
        <v>0.12</v>
      </c>
      <c r="H101" s="63"/>
      <c r="I101" s="64"/>
      <c r="K101" s="66"/>
    </row>
    <row r="102" spans="1:11" s="65" customFormat="1" ht="14.25">
      <c r="A102" s="59"/>
      <c r="B102" s="60" t="s">
        <v>2</v>
      </c>
      <c r="C102" s="67" t="s">
        <v>382</v>
      </c>
      <c r="D102" s="61" t="s">
        <v>3</v>
      </c>
      <c r="E102" s="62">
        <v>0.45</v>
      </c>
      <c r="F102" s="62">
        <f>TRUNC(3.796,2)</f>
        <v>3.79</v>
      </c>
      <c r="G102" s="63">
        <f t="shared" si="3"/>
        <v>1.7</v>
      </c>
      <c r="H102" s="63"/>
      <c r="I102" s="64"/>
      <c r="K102" s="66"/>
    </row>
    <row r="103" spans="1:11" s="65" customFormat="1" ht="14.25">
      <c r="A103" s="59"/>
      <c r="B103" s="60" t="s">
        <v>383</v>
      </c>
      <c r="C103" s="67" t="s">
        <v>384</v>
      </c>
      <c r="D103" s="61" t="s">
        <v>3</v>
      </c>
      <c r="E103" s="62">
        <v>0.45</v>
      </c>
      <c r="F103" s="62">
        <f>TRUNC(6.75,2)</f>
        <v>6.75</v>
      </c>
      <c r="G103" s="63">
        <f t="shared" si="3"/>
        <v>3.03</v>
      </c>
      <c r="H103" s="63"/>
      <c r="I103" s="64"/>
      <c r="K103" s="66"/>
    </row>
    <row r="104" spans="1:11" s="65" customFormat="1" ht="14.25">
      <c r="A104" s="59"/>
      <c r="B104" s="60" t="s">
        <v>358</v>
      </c>
      <c r="C104" s="67" t="s">
        <v>359</v>
      </c>
      <c r="D104" s="61" t="s">
        <v>5</v>
      </c>
      <c r="E104" s="62">
        <v>0.025</v>
      </c>
      <c r="F104" s="62">
        <f>TRUNC(6.4,2)</f>
        <v>6.4</v>
      </c>
      <c r="G104" s="63">
        <f t="shared" si="3"/>
        <v>0.16</v>
      </c>
      <c r="H104" s="63"/>
      <c r="I104" s="64"/>
      <c r="K104" s="66"/>
    </row>
    <row r="105" spans="1:11" s="65" customFormat="1" ht="28.5">
      <c r="A105" s="59"/>
      <c r="B105" s="60" t="s">
        <v>372</v>
      </c>
      <c r="C105" s="67" t="s">
        <v>373</v>
      </c>
      <c r="D105" s="61" t="s">
        <v>6</v>
      </c>
      <c r="E105" s="62">
        <v>0.12875</v>
      </c>
      <c r="F105" s="62">
        <f>TRUNC(19.43,2)</f>
        <v>19.43</v>
      </c>
      <c r="G105" s="63">
        <f t="shared" si="3"/>
        <v>2.5</v>
      </c>
      <c r="H105" s="63"/>
      <c r="I105" s="64"/>
      <c r="K105" s="66"/>
    </row>
    <row r="106" spans="1:11" s="65" customFormat="1" ht="28.5">
      <c r="A106" s="59"/>
      <c r="B106" s="60" t="s">
        <v>72</v>
      </c>
      <c r="C106" s="67" t="s">
        <v>73</v>
      </c>
      <c r="D106" s="61" t="s">
        <v>6</v>
      </c>
      <c r="E106" s="62">
        <v>0.36565</v>
      </c>
      <c r="F106" s="62">
        <f>TRUNC(13.08,2)</f>
        <v>13.08</v>
      </c>
      <c r="G106" s="63">
        <f t="shared" si="3"/>
        <v>4.78</v>
      </c>
      <c r="H106" s="63"/>
      <c r="I106" s="64"/>
      <c r="K106" s="66"/>
    </row>
    <row r="107" spans="1:11" s="65" customFormat="1" ht="28.5">
      <c r="A107" s="59"/>
      <c r="B107" s="60" t="s">
        <v>157</v>
      </c>
      <c r="C107" s="67" t="s">
        <v>85</v>
      </c>
      <c r="D107" s="61" t="s">
        <v>6</v>
      </c>
      <c r="E107" s="62">
        <v>0.11845000000000001</v>
      </c>
      <c r="F107" s="62">
        <f>TRUNC(18.05,2)</f>
        <v>18.05</v>
      </c>
      <c r="G107" s="63">
        <f t="shared" si="3"/>
        <v>2.13</v>
      </c>
      <c r="H107" s="63"/>
      <c r="I107" s="64"/>
      <c r="K107" s="66"/>
    </row>
    <row r="108" spans="1:11" s="65" customFormat="1" ht="14.25">
      <c r="A108" s="59"/>
      <c r="B108" s="60" t="s">
        <v>173</v>
      </c>
      <c r="C108" s="67" t="s">
        <v>121</v>
      </c>
      <c r="D108" s="61" t="s">
        <v>6</v>
      </c>
      <c r="E108" s="62">
        <v>0.12875</v>
      </c>
      <c r="F108" s="62">
        <f>TRUNC(13.76,2)</f>
        <v>13.76</v>
      </c>
      <c r="G108" s="63">
        <f t="shared" si="3"/>
        <v>1.77</v>
      </c>
      <c r="H108" s="63"/>
      <c r="I108" s="64"/>
      <c r="K108" s="66"/>
    </row>
    <row r="109" spans="1:11" s="65" customFormat="1" ht="14.25">
      <c r="A109" s="59"/>
      <c r="B109" s="60"/>
      <c r="C109" s="67"/>
      <c r="D109" s="61"/>
      <c r="E109" s="62" t="s">
        <v>7</v>
      </c>
      <c r="F109" s="62"/>
      <c r="G109" s="63">
        <f>TRUNC(SUM(G101:G108),2)</f>
        <v>16.19</v>
      </c>
      <c r="H109" s="63"/>
      <c r="I109" s="64"/>
      <c r="K109" s="66"/>
    </row>
    <row r="110" spans="1:11" s="65" customFormat="1" ht="29.25">
      <c r="A110" s="107" t="s">
        <v>483</v>
      </c>
      <c r="B110" s="108" t="s">
        <v>724</v>
      </c>
      <c r="C110" s="99" t="s">
        <v>924</v>
      </c>
      <c r="D110" s="110" t="s">
        <v>0</v>
      </c>
      <c r="E110" s="112">
        <v>111.8</v>
      </c>
      <c r="F110" s="112">
        <f>TRUNC(G113,2)</f>
        <v>14.63</v>
      </c>
      <c r="G110" s="101">
        <f>TRUNC(F110*1.2977,2)</f>
        <v>18.98</v>
      </c>
      <c r="H110" s="101">
        <f>TRUNC(F110*E110,2)</f>
        <v>1635.63</v>
      </c>
      <c r="I110" s="102">
        <f>TRUNC(E110*G110,2)</f>
        <v>2121.96</v>
      </c>
      <c r="J110" s="65">
        <v>111.8</v>
      </c>
      <c r="K110" s="66"/>
    </row>
    <row r="111" spans="1:11" s="65" customFormat="1" ht="14.25">
      <c r="A111" s="59"/>
      <c r="B111" s="60" t="s">
        <v>722</v>
      </c>
      <c r="C111" s="67" t="s">
        <v>127</v>
      </c>
      <c r="D111" s="61" t="s">
        <v>6</v>
      </c>
      <c r="E111" s="62">
        <v>0.1582</v>
      </c>
      <c r="F111" s="62">
        <f>TRUNC(19.85,2)</f>
        <v>19.85</v>
      </c>
      <c r="G111" s="63">
        <f>TRUNC(E111*F111,2)</f>
        <v>3.14</v>
      </c>
      <c r="H111" s="63"/>
      <c r="I111" s="64"/>
      <c r="K111" s="66"/>
    </row>
    <row r="112" spans="1:11" s="65" customFormat="1" ht="14.25">
      <c r="A112" s="59"/>
      <c r="B112" s="60" t="s">
        <v>725</v>
      </c>
      <c r="C112" s="67" t="s">
        <v>527</v>
      </c>
      <c r="D112" s="61" t="s">
        <v>6</v>
      </c>
      <c r="E112" s="62">
        <v>0.4591</v>
      </c>
      <c r="F112" s="62">
        <f>TRUNC(25.04,2)</f>
        <v>25.04</v>
      </c>
      <c r="G112" s="63">
        <f>TRUNC(E112*F112,2)</f>
        <v>11.49</v>
      </c>
      <c r="H112" s="63"/>
      <c r="I112" s="64"/>
      <c r="K112" s="66"/>
    </row>
    <row r="113" spans="1:11" s="65" customFormat="1" ht="14.25">
      <c r="A113" s="59"/>
      <c r="B113" s="60"/>
      <c r="C113" s="67"/>
      <c r="D113" s="61"/>
      <c r="E113" s="62" t="s">
        <v>7</v>
      </c>
      <c r="F113" s="62"/>
      <c r="G113" s="63">
        <f>TRUNC(SUM(G111:G112),2)</f>
        <v>14.63</v>
      </c>
      <c r="H113" s="63"/>
      <c r="I113" s="64"/>
      <c r="K113" s="66"/>
    </row>
    <row r="114" spans="1:11" s="65" customFormat="1" ht="32.25" customHeight="1">
      <c r="A114" s="107" t="s">
        <v>484</v>
      </c>
      <c r="B114" s="108" t="s">
        <v>724</v>
      </c>
      <c r="C114" s="99" t="s">
        <v>925</v>
      </c>
      <c r="D114" s="110" t="s">
        <v>0</v>
      </c>
      <c r="E114" s="112">
        <v>47.65</v>
      </c>
      <c r="F114" s="112">
        <f>TRUNC(G117,2)</f>
        <v>14.63</v>
      </c>
      <c r="G114" s="101">
        <f>TRUNC(F114*1.2977,2)</f>
        <v>18.98</v>
      </c>
      <c r="H114" s="101">
        <f>TRUNC(F114*E114,2)</f>
        <v>697.11</v>
      </c>
      <c r="I114" s="102">
        <f>TRUNC(E114*G114,2)</f>
        <v>904.39</v>
      </c>
      <c r="J114" s="65">
        <v>47.65</v>
      </c>
      <c r="K114" s="66"/>
    </row>
    <row r="115" spans="1:11" s="65" customFormat="1" ht="14.25">
      <c r="A115" s="59"/>
      <c r="B115" s="60" t="s">
        <v>722</v>
      </c>
      <c r="C115" s="67" t="s">
        <v>127</v>
      </c>
      <c r="D115" s="61" t="s">
        <v>6</v>
      </c>
      <c r="E115" s="62">
        <v>0.1582</v>
      </c>
      <c r="F115" s="62">
        <f>TRUNC(19.85,2)</f>
        <v>19.85</v>
      </c>
      <c r="G115" s="63">
        <f>TRUNC(E115*F115,2)</f>
        <v>3.14</v>
      </c>
      <c r="H115" s="63"/>
      <c r="I115" s="64"/>
      <c r="K115" s="66"/>
    </row>
    <row r="116" spans="1:11" s="65" customFormat="1" ht="14.25">
      <c r="A116" s="59"/>
      <c r="B116" s="60" t="s">
        <v>725</v>
      </c>
      <c r="C116" s="67" t="s">
        <v>527</v>
      </c>
      <c r="D116" s="61" t="s">
        <v>6</v>
      </c>
      <c r="E116" s="62">
        <v>0.4591</v>
      </c>
      <c r="F116" s="62">
        <f>TRUNC(25.04,2)</f>
        <v>25.04</v>
      </c>
      <c r="G116" s="63">
        <f>TRUNC(E116*F116,2)</f>
        <v>11.49</v>
      </c>
      <c r="H116" s="63"/>
      <c r="I116" s="64"/>
      <c r="K116" s="66"/>
    </row>
    <row r="117" spans="1:11" s="65" customFormat="1" ht="14.25">
      <c r="A117" s="59"/>
      <c r="B117" s="60"/>
      <c r="C117" s="67"/>
      <c r="D117" s="61"/>
      <c r="E117" s="62" t="s">
        <v>7</v>
      </c>
      <c r="F117" s="62"/>
      <c r="G117" s="63">
        <f>TRUNC(SUM(G115:G116),2)</f>
        <v>14.63</v>
      </c>
      <c r="H117" s="63"/>
      <c r="I117" s="64"/>
      <c r="K117" s="66"/>
    </row>
    <row r="118" spans="1:11" s="65" customFormat="1" ht="43.5">
      <c r="A118" s="107" t="s">
        <v>536</v>
      </c>
      <c r="B118" s="108" t="s">
        <v>532</v>
      </c>
      <c r="C118" s="99" t="s">
        <v>926</v>
      </c>
      <c r="D118" s="110" t="s">
        <v>3</v>
      </c>
      <c r="E118" s="112">
        <v>104.06</v>
      </c>
      <c r="F118" s="112">
        <f>TRUNC(G120,2)</f>
        <v>14.81</v>
      </c>
      <c r="G118" s="101">
        <f>TRUNC(F118*1.2977,2)</f>
        <v>19.21</v>
      </c>
      <c r="H118" s="101">
        <f>TRUNC(F118*E118,2)</f>
        <v>1541.12</v>
      </c>
      <c r="I118" s="102">
        <f>TRUNC(E118*G118,2)</f>
        <v>1998.99</v>
      </c>
      <c r="K118" s="66"/>
    </row>
    <row r="119" spans="1:11" s="65" customFormat="1" ht="28.5">
      <c r="A119" s="59"/>
      <c r="B119" s="60" t="s">
        <v>72</v>
      </c>
      <c r="C119" s="67" t="s">
        <v>73</v>
      </c>
      <c r="D119" s="61" t="s">
        <v>6</v>
      </c>
      <c r="E119" s="62">
        <v>1.1330000000000002</v>
      </c>
      <c r="F119" s="62">
        <f>TRUNC(13.08,2)</f>
        <v>13.08</v>
      </c>
      <c r="G119" s="63">
        <f>TRUNC(E119*F119,2)</f>
        <v>14.81</v>
      </c>
      <c r="H119" s="63"/>
      <c r="I119" s="64"/>
      <c r="K119" s="66"/>
    </row>
    <row r="120" spans="1:11" s="65" customFormat="1" ht="14.25">
      <c r="A120" s="59"/>
      <c r="B120" s="60"/>
      <c r="C120" s="67"/>
      <c r="D120" s="61"/>
      <c r="E120" s="62" t="s">
        <v>7</v>
      </c>
      <c r="F120" s="62"/>
      <c r="G120" s="63">
        <f>TRUNC(SUM(G119:G119),2)</f>
        <v>14.81</v>
      </c>
      <c r="H120" s="63"/>
      <c r="I120" s="64"/>
      <c r="K120" s="66"/>
    </row>
    <row r="121" spans="1:11" s="65" customFormat="1" ht="43.5">
      <c r="A121" s="107" t="s">
        <v>635</v>
      </c>
      <c r="B121" s="108" t="s">
        <v>532</v>
      </c>
      <c r="C121" s="99" t="s">
        <v>927</v>
      </c>
      <c r="D121" s="110" t="s">
        <v>3</v>
      </c>
      <c r="E121" s="112">
        <v>34.25</v>
      </c>
      <c r="F121" s="112">
        <f>TRUNC(G123,2)</f>
        <v>14.81</v>
      </c>
      <c r="G121" s="101">
        <f>TRUNC(F121*1.2977,2)</f>
        <v>19.21</v>
      </c>
      <c r="H121" s="101">
        <f>TRUNC(F121*E121,2)</f>
        <v>507.24</v>
      </c>
      <c r="I121" s="102">
        <f>TRUNC(E121*G121,2)</f>
        <v>657.94</v>
      </c>
      <c r="J121" s="65">
        <v>34.25</v>
      </c>
      <c r="K121" s="66"/>
    </row>
    <row r="122" spans="1:11" s="65" customFormat="1" ht="28.5">
      <c r="A122" s="59"/>
      <c r="B122" s="60" t="s">
        <v>72</v>
      </c>
      <c r="C122" s="67" t="s">
        <v>73</v>
      </c>
      <c r="D122" s="61" t="s">
        <v>6</v>
      </c>
      <c r="E122" s="62">
        <v>1.1330000000000002</v>
      </c>
      <c r="F122" s="62">
        <f>TRUNC(13.08,2)</f>
        <v>13.08</v>
      </c>
      <c r="G122" s="63">
        <f>TRUNC(E122*F122,2)</f>
        <v>14.81</v>
      </c>
      <c r="H122" s="63"/>
      <c r="I122" s="64"/>
      <c r="K122" s="66"/>
    </row>
    <row r="123" spans="1:11" s="65" customFormat="1" ht="14.25">
      <c r="A123" s="59"/>
      <c r="B123" s="60"/>
      <c r="C123" s="67"/>
      <c r="D123" s="61"/>
      <c r="E123" s="62" t="s">
        <v>7</v>
      </c>
      <c r="F123" s="62"/>
      <c r="G123" s="63">
        <f>TRUNC(SUM(G122:G122),2)</f>
        <v>14.81</v>
      </c>
      <c r="H123" s="63"/>
      <c r="I123" s="64"/>
      <c r="K123" s="66"/>
    </row>
    <row r="124" spans="1:11" s="65" customFormat="1" ht="42.75">
      <c r="A124" s="107" t="s">
        <v>636</v>
      </c>
      <c r="B124" s="108" t="s">
        <v>537</v>
      </c>
      <c r="C124" s="99" t="s">
        <v>538</v>
      </c>
      <c r="D124" s="110" t="s">
        <v>12</v>
      </c>
      <c r="E124" s="112">
        <v>4</v>
      </c>
      <c r="F124" s="112">
        <f>TRUNC(G126,2)</f>
        <v>134.9</v>
      </c>
      <c r="G124" s="101">
        <f>TRUNC(F124*1.2977,2)</f>
        <v>175.05</v>
      </c>
      <c r="H124" s="101">
        <f>TRUNC(F124*E124,2)</f>
        <v>539.6</v>
      </c>
      <c r="I124" s="102">
        <f>TRUNC(E124*G124,2)</f>
        <v>700.2</v>
      </c>
      <c r="K124" s="66"/>
    </row>
    <row r="125" spans="1:11" s="65" customFormat="1" ht="28.5">
      <c r="A125" s="59"/>
      <c r="B125" s="60" t="s">
        <v>530</v>
      </c>
      <c r="C125" s="67" t="s">
        <v>531</v>
      </c>
      <c r="D125" s="61" t="s">
        <v>6</v>
      </c>
      <c r="E125" s="62">
        <v>12.5145</v>
      </c>
      <c r="F125" s="62">
        <f>TRUNC(10.78,2)</f>
        <v>10.78</v>
      </c>
      <c r="G125" s="63">
        <f>TRUNC(E125*F125,2)</f>
        <v>134.9</v>
      </c>
      <c r="H125" s="63"/>
      <c r="I125" s="64"/>
      <c r="K125" s="66"/>
    </row>
    <row r="126" spans="1:11" s="65" customFormat="1" ht="14.25">
      <c r="A126" s="59"/>
      <c r="B126" s="60"/>
      <c r="C126" s="67"/>
      <c r="D126" s="61"/>
      <c r="E126" s="62" t="s">
        <v>7</v>
      </c>
      <c r="F126" s="62"/>
      <c r="G126" s="63">
        <f>TRUNC(SUM(G125:G125),2)</f>
        <v>134.9</v>
      </c>
      <c r="H126" s="63"/>
      <c r="I126" s="64"/>
      <c r="K126" s="66"/>
    </row>
    <row r="127" spans="1:11" s="65" customFormat="1" ht="29.25">
      <c r="A127" s="107" t="s">
        <v>889</v>
      </c>
      <c r="B127" s="108" t="s">
        <v>914</v>
      </c>
      <c r="C127" s="99" t="s">
        <v>893</v>
      </c>
      <c r="D127" s="110" t="s">
        <v>1</v>
      </c>
      <c r="E127" s="112">
        <v>1.7</v>
      </c>
      <c r="F127" s="112">
        <f>TRUNC(G130,2)</f>
        <v>183.96</v>
      </c>
      <c r="G127" s="101">
        <f>TRUNC(F127*1.2977,2)</f>
        <v>238.72</v>
      </c>
      <c r="H127" s="101">
        <f>TRUNC(F127*E127,2)</f>
        <v>312.73</v>
      </c>
      <c r="I127" s="102">
        <f>TRUNC(E127*G127,2)</f>
        <v>405.82</v>
      </c>
      <c r="K127" s="66"/>
    </row>
    <row r="128" spans="1:11" s="65" customFormat="1" ht="28.5">
      <c r="A128" s="59"/>
      <c r="B128" s="60" t="s">
        <v>72</v>
      </c>
      <c r="C128" s="67" t="s">
        <v>73</v>
      </c>
      <c r="D128" s="61" t="s">
        <v>6</v>
      </c>
      <c r="E128" s="62">
        <v>12.36</v>
      </c>
      <c r="F128" s="62">
        <f>TRUNC(13.08,2)</f>
        <v>13.08</v>
      </c>
      <c r="G128" s="63">
        <f>TRUNC(E128*F128,2)</f>
        <v>161.66</v>
      </c>
      <c r="H128" s="63"/>
      <c r="I128" s="64"/>
      <c r="K128" s="66"/>
    </row>
    <row r="129" spans="1:11" s="65" customFormat="1" ht="14.25">
      <c r="A129" s="59"/>
      <c r="B129" s="60" t="s">
        <v>83</v>
      </c>
      <c r="C129" s="67" t="s">
        <v>84</v>
      </c>
      <c r="D129" s="61" t="s">
        <v>6</v>
      </c>
      <c r="E129" s="62">
        <v>1.236</v>
      </c>
      <c r="F129" s="62">
        <f>TRUNC(18.05,2)</f>
        <v>18.05</v>
      </c>
      <c r="G129" s="63">
        <f>TRUNC(E129*F129,2)</f>
        <v>22.3</v>
      </c>
      <c r="H129" s="63"/>
      <c r="I129" s="64"/>
      <c r="K129" s="66"/>
    </row>
    <row r="130" spans="1:11" s="65" customFormat="1" ht="14.25">
      <c r="A130" s="59"/>
      <c r="B130" s="60"/>
      <c r="C130" s="67"/>
      <c r="D130" s="61"/>
      <c r="E130" s="62" t="s">
        <v>7</v>
      </c>
      <c r="F130" s="62"/>
      <c r="G130" s="63">
        <f>TRUNC(SUM(G128:G129),2)</f>
        <v>183.96</v>
      </c>
      <c r="H130" s="63"/>
      <c r="I130" s="64"/>
      <c r="K130" s="66"/>
    </row>
    <row r="131" spans="1:11" s="65" customFormat="1" ht="29.25">
      <c r="A131" s="107" t="s">
        <v>892</v>
      </c>
      <c r="B131" s="108" t="s">
        <v>915</v>
      </c>
      <c r="C131" s="99" t="s">
        <v>894</v>
      </c>
      <c r="D131" s="110" t="s">
        <v>3</v>
      </c>
      <c r="E131" s="112">
        <v>1.8</v>
      </c>
      <c r="F131" s="112">
        <f>TRUNC(G133,2)</f>
        <v>15.49</v>
      </c>
      <c r="G131" s="101">
        <f>TRUNC(F131*1.2977,2)</f>
        <v>20.1</v>
      </c>
      <c r="H131" s="101">
        <f>TRUNC(F131*E131,2)</f>
        <v>27.88</v>
      </c>
      <c r="I131" s="102">
        <f>TRUNC(E131*G131,2)</f>
        <v>36.18</v>
      </c>
      <c r="K131" s="66"/>
    </row>
    <row r="132" spans="1:11" s="65" customFormat="1" ht="28.5">
      <c r="A132" s="59"/>
      <c r="B132" s="60" t="s">
        <v>72</v>
      </c>
      <c r="C132" s="67" t="s">
        <v>73</v>
      </c>
      <c r="D132" s="61" t="s">
        <v>6</v>
      </c>
      <c r="E132" s="62">
        <v>1.1844999999999999</v>
      </c>
      <c r="F132" s="62">
        <f>TRUNC(13.08,2)</f>
        <v>13.08</v>
      </c>
      <c r="G132" s="63">
        <f>TRUNC(E132*F132,2)</f>
        <v>15.49</v>
      </c>
      <c r="H132" s="63"/>
      <c r="I132" s="64"/>
      <c r="K132" s="66"/>
    </row>
    <row r="133" spans="1:11" s="65" customFormat="1" ht="14.25">
      <c r="A133" s="59"/>
      <c r="B133" s="60"/>
      <c r="C133" s="67"/>
      <c r="D133" s="61"/>
      <c r="E133" s="62" t="s">
        <v>7</v>
      </c>
      <c r="F133" s="62"/>
      <c r="G133" s="63">
        <f>TRUNC(SUM(G132:G132),2)</f>
        <v>15.49</v>
      </c>
      <c r="H133" s="63"/>
      <c r="I133" s="64"/>
      <c r="K133" s="66"/>
    </row>
    <row r="134" spans="1:9" s="44" customFormat="1" ht="15.75">
      <c r="A134" s="53" t="s">
        <v>53</v>
      </c>
      <c r="B134" s="55"/>
      <c r="C134" s="54"/>
      <c r="D134" s="55"/>
      <c r="E134" s="55"/>
      <c r="F134" s="55"/>
      <c r="G134" s="55" t="s">
        <v>57</v>
      </c>
      <c r="H134" s="57">
        <f>H27+H20+H13+H46+H51+H54+H100+H61+H82+H110+H118+H124+H114+H121+H127+H131</f>
        <v>23906.600000000002</v>
      </c>
      <c r="I134" s="57">
        <f>I27+I20+I13+I46+I51+I54+I100+I61+I82+I110+I118+I124+I114+I121+I127+I131</f>
        <v>31019.989999999998</v>
      </c>
    </row>
    <row r="135" spans="1:9" s="43" customFormat="1" ht="15.75">
      <c r="A135" s="43" t="s">
        <v>20</v>
      </c>
      <c r="B135" s="51"/>
      <c r="C135" s="52" t="s">
        <v>371</v>
      </c>
      <c r="D135" s="52"/>
      <c r="E135" s="52"/>
      <c r="F135" s="52"/>
      <c r="G135" s="52"/>
      <c r="H135" s="52"/>
      <c r="I135" s="50"/>
    </row>
    <row r="136" spans="1:10" s="99" customFormat="1" ht="85.5">
      <c r="A136" s="99" t="s">
        <v>54</v>
      </c>
      <c r="B136" s="99" t="s">
        <v>726</v>
      </c>
      <c r="C136" s="99" t="s">
        <v>400</v>
      </c>
      <c r="D136" s="101" t="s">
        <v>0</v>
      </c>
      <c r="E136" s="101">
        <v>212.01</v>
      </c>
      <c r="F136" s="101">
        <f>TRUNC(G151,2)</f>
        <v>81.93</v>
      </c>
      <c r="G136" s="101">
        <f>TRUNC(F136*1.2977,2)</f>
        <v>106.32</v>
      </c>
      <c r="H136" s="101">
        <f>TRUNC(F136*E136,2)</f>
        <v>17369.97</v>
      </c>
      <c r="I136" s="102">
        <f>TRUNC(E136*G136,2)</f>
        <v>22540.9</v>
      </c>
      <c r="J136" s="99">
        <v>212.01</v>
      </c>
    </row>
    <row r="137" spans="2:9" s="67" customFormat="1" ht="14.25">
      <c r="B137" s="67" t="s">
        <v>152</v>
      </c>
      <c r="C137" s="67" t="s">
        <v>113</v>
      </c>
      <c r="D137" s="63" t="s">
        <v>48</v>
      </c>
      <c r="E137" s="63">
        <v>0.0725</v>
      </c>
      <c r="F137" s="63">
        <f>TRUNC(51.01,2)</f>
        <v>51.01</v>
      </c>
      <c r="G137" s="63">
        <f aca="true" t="shared" si="4" ref="G137:G150">TRUNC(E137*F137,2)</f>
        <v>3.69</v>
      </c>
      <c r="H137" s="63"/>
      <c r="I137" s="64"/>
    </row>
    <row r="138" spans="2:9" s="67" customFormat="1" ht="28.5">
      <c r="B138" s="67" t="s">
        <v>153</v>
      </c>
      <c r="C138" s="67" t="s">
        <v>154</v>
      </c>
      <c r="D138" s="63" t="s">
        <v>5</v>
      </c>
      <c r="E138" s="63">
        <v>3.25</v>
      </c>
      <c r="F138" s="63">
        <f>TRUNC(3.6639,2)</f>
        <v>3.66</v>
      </c>
      <c r="G138" s="63">
        <f t="shared" si="4"/>
        <v>11.89</v>
      </c>
      <c r="H138" s="63"/>
      <c r="I138" s="64"/>
    </row>
    <row r="139" spans="2:9" s="67" customFormat="1" ht="14.25">
      <c r="B139" s="67" t="s">
        <v>155</v>
      </c>
      <c r="C139" s="67" t="s">
        <v>156</v>
      </c>
      <c r="D139" s="63" t="s">
        <v>0</v>
      </c>
      <c r="E139" s="63">
        <v>1.2</v>
      </c>
      <c r="F139" s="63">
        <f>TRUNC(0.75,2)</f>
        <v>0.75</v>
      </c>
      <c r="G139" s="63">
        <f t="shared" si="4"/>
        <v>0.9</v>
      </c>
      <c r="H139" s="63"/>
      <c r="I139" s="64"/>
    </row>
    <row r="140" spans="2:9" s="76" customFormat="1" ht="15">
      <c r="B140" s="80" t="s">
        <v>240</v>
      </c>
      <c r="C140" s="76" t="s">
        <v>241</v>
      </c>
      <c r="D140" s="77" t="s">
        <v>1</v>
      </c>
      <c r="E140" s="77">
        <v>0.105</v>
      </c>
      <c r="F140" s="77">
        <v>316.4933</v>
      </c>
      <c r="G140" s="77">
        <f t="shared" si="4"/>
        <v>33.23</v>
      </c>
      <c r="H140" s="77"/>
      <c r="I140" s="78"/>
    </row>
    <row r="141" spans="2:9" s="67" customFormat="1" ht="28.5">
      <c r="B141" s="67" t="s">
        <v>72</v>
      </c>
      <c r="C141" s="67" t="s">
        <v>73</v>
      </c>
      <c r="D141" s="63" t="s">
        <v>6</v>
      </c>
      <c r="E141" s="63">
        <v>1.15875</v>
      </c>
      <c r="F141" s="63">
        <f>TRUNC(13.08,2)</f>
        <v>13.08</v>
      </c>
      <c r="G141" s="63">
        <f t="shared" si="4"/>
        <v>15.15</v>
      </c>
      <c r="H141" s="63"/>
      <c r="I141" s="64"/>
    </row>
    <row r="142" spans="2:9" s="67" customFormat="1" ht="14.25">
      <c r="B142" s="67" t="s">
        <v>83</v>
      </c>
      <c r="C142" s="67" t="s">
        <v>84</v>
      </c>
      <c r="D142" s="63" t="s">
        <v>6</v>
      </c>
      <c r="E142" s="63">
        <v>0.6695000000000001</v>
      </c>
      <c r="F142" s="63">
        <f>TRUNC(18.05,2)</f>
        <v>18.05</v>
      </c>
      <c r="G142" s="63">
        <f t="shared" si="4"/>
        <v>12.08</v>
      </c>
      <c r="H142" s="63"/>
      <c r="I142" s="64"/>
    </row>
    <row r="143" spans="2:9" s="67" customFormat="1" ht="28.5">
      <c r="B143" s="67" t="s">
        <v>157</v>
      </c>
      <c r="C143" s="67" t="s">
        <v>85</v>
      </c>
      <c r="D143" s="63" t="s">
        <v>6</v>
      </c>
      <c r="E143" s="63">
        <v>0.0927</v>
      </c>
      <c r="F143" s="63">
        <f>TRUNC(18.05,2)</f>
        <v>18.05</v>
      </c>
      <c r="G143" s="63">
        <f t="shared" si="4"/>
        <v>1.67</v>
      </c>
      <c r="H143" s="63"/>
      <c r="I143" s="64"/>
    </row>
    <row r="144" spans="2:9" s="67" customFormat="1" ht="28.5">
      <c r="B144" s="67" t="s">
        <v>158</v>
      </c>
      <c r="C144" s="67" t="s">
        <v>159</v>
      </c>
      <c r="D144" s="63" t="s">
        <v>6</v>
      </c>
      <c r="E144" s="63">
        <v>0.1648</v>
      </c>
      <c r="F144" s="63">
        <f>TRUNC(18.05,2)</f>
        <v>18.05</v>
      </c>
      <c r="G144" s="63">
        <f t="shared" si="4"/>
        <v>2.97</v>
      </c>
      <c r="H144" s="63"/>
      <c r="I144" s="64"/>
    </row>
    <row r="145" spans="2:9" s="67" customFormat="1" ht="14.25">
      <c r="B145" s="67" t="s">
        <v>160</v>
      </c>
      <c r="C145" s="67" t="s">
        <v>117</v>
      </c>
      <c r="D145" s="63" t="s">
        <v>6</v>
      </c>
      <c r="E145" s="63">
        <v>0.0438</v>
      </c>
      <c r="F145" s="63">
        <f>TRUNC(0.9648,2)</f>
        <v>0.96</v>
      </c>
      <c r="G145" s="63">
        <f t="shared" si="4"/>
        <v>0.04</v>
      </c>
      <c r="H145" s="63"/>
      <c r="I145" s="64"/>
    </row>
    <row r="146" spans="2:9" s="67" customFormat="1" ht="14.25">
      <c r="B146" s="67" t="s">
        <v>161</v>
      </c>
      <c r="C146" s="67" t="s">
        <v>116</v>
      </c>
      <c r="D146" s="63" t="s">
        <v>6</v>
      </c>
      <c r="E146" s="63">
        <v>0.0188</v>
      </c>
      <c r="F146" s="63">
        <f>TRUNC(8.6401,2)</f>
        <v>8.64</v>
      </c>
      <c r="G146" s="63">
        <f t="shared" si="4"/>
        <v>0.16</v>
      </c>
      <c r="H146" s="63"/>
      <c r="I146" s="64"/>
    </row>
    <row r="147" spans="2:9" s="67" customFormat="1" ht="14.25">
      <c r="B147" s="67" t="s">
        <v>162</v>
      </c>
      <c r="C147" s="67" t="s">
        <v>86</v>
      </c>
      <c r="D147" s="63" t="s">
        <v>6</v>
      </c>
      <c r="E147" s="63">
        <v>0.036</v>
      </c>
      <c r="F147" s="63">
        <f>TRUNC(0.2441,2)</f>
        <v>0.24</v>
      </c>
      <c r="G147" s="63">
        <f t="shared" si="4"/>
        <v>0</v>
      </c>
      <c r="H147" s="63"/>
      <c r="I147" s="64"/>
    </row>
    <row r="148" spans="2:9" s="67" customFormat="1" ht="14.25">
      <c r="B148" s="67" t="s">
        <v>163</v>
      </c>
      <c r="C148" s="67" t="s">
        <v>87</v>
      </c>
      <c r="D148" s="63" t="s">
        <v>6</v>
      </c>
      <c r="E148" s="63">
        <v>0.036</v>
      </c>
      <c r="F148" s="63">
        <f>TRUNC(1.1704,2)</f>
        <v>1.17</v>
      </c>
      <c r="G148" s="63">
        <f t="shared" si="4"/>
        <v>0.04</v>
      </c>
      <c r="H148" s="63"/>
      <c r="I148" s="64"/>
    </row>
    <row r="149" spans="2:9" s="67" customFormat="1" ht="14.25">
      <c r="B149" s="67" t="s">
        <v>164</v>
      </c>
      <c r="C149" s="67" t="s">
        <v>115</v>
      </c>
      <c r="D149" s="63" t="s">
        <v>6</v>
      </c>
      <c r="E149" s="63">
        <v>0.0292</v>
      </c>
      <c r="F149" s="63">
        <f>TRUNC(1.3478,2)</f>
        <v>1.34</v>
      </c>
      <c r="G149" s="63">
        <f t="shared" si="4"/>
        <v>0.03</v>
      </c>
      <c r="H149" s="63"/>
      <c r="I149" s="64"/>
    </row>
    <row r="150" spans="2:9" s="67" customFormat="1" ht="14.25">
      <c r="B150" s="67" t="s">
        <v>165</v>
      </c>
      <c r="C150" s="67" t="s">
        <v>114</v>
      </c>
      <c r="D150" s="63" t="s">
        <v>6</v>
      </c>
      <c r="E150" s="63">
        <v>0.0125</v>
      </c>
      <c r="F150" s="63">
        <f>TRUNC(6.618,2)</f>
        <v>6.61</v>
      </c>
      <c r="G150" s="63">
        <f t="shared" si="4"/>
        <v>0.08</v>
      </c>
      <c r="H150" s="63"/>
      <c r="I150" s="64"/>
    </row>
    <row r="151" spans="4:9" s="67" customFormat="1" ht="14.25">
      <c r="D151" s="63"/>
      <c r="E151" s="63" t="s">
        <v>7</v>
      </c>
      <c r="F151" s="63"/>
      <c r="G151" s="63">
        <f>TRUNC(SUM(G137:G150),2)</f>
        <v>81.93</v>
      </c>
      <c r="H151" s="63"/>
      <c r="I151" s="64"/>
    </row>
    <row r="152" spans="1:9" s="99" customFormat="1" ht="57">
      <c r="A152" s="99" t="s">
        <v>375</v>
      </c>
      <c r="B152" s="99" t="s">
        <v>342</v>
      </c>
      <c r="C152" s="99" t="s">
        <v>343</v>
      </c>
      <c r="D152" s="99" t="s">
        <v>0</v>
      </c>
      <c r="E152" s="99">
        <v>1.5</v>
      </c>
      <c r="F152" s="100">
        <f>TRUNC(G158,2)</f>
        <v>70.05</v>
      </c>
      <c r="G152" s="101">
        <f>TRUNC(F152*1.2977,2)</f>
        <v>90.9</v>
      </c>
      <c r="H152" s="101">
        <f>TRUNC(F152*E152,2)</f>
        <v>105.07</v>
      </c>
      <c r="I152" s="102">
        <f>TRUNC(E152*G152,2)</f>
        <v>136.35</v>
      </c>
    </row>
    <row r="153" spans="2:9" s="67" customFormat="1" ht="14.25">
      <c r="B153" s="67" t="s">
        <v>344</v>
      </c>
      <c r="C153" s="67" t="s">
        <v>345</v>
      </c>
      <c r="D153" s="67" t="s">
        <v>12</v>
      </c>
      <c r="E153" s="67">
        <v>31</v>
      </c>
      <c r="F153" s="68">
        <f>TRUNC(0.72,2)</f>
        <v>0.72</v>
      </c>
      <c r="G153" s="63">
        <f>TRUNC(E153*F153,2)</f>
        <v>22.32</v>
      </c>
      <c r="H153" s="63"/>
      <c r="I153" s="64"/>
    </row>
    <row r="154" spans="2:9" s="67" customFormat="1" ht="14.25">
      <c r="B154" s="67" t="s">
        <v>346</v>
      </c>
      <c r="C154" s="67" t="s">
        <v>347</v>
      </c>
      <c r="D154" s="67" t="s">
        <v>12</v>
      </c>
      <c r="E154" s="67">
        <v>6</v>
      </c>
      <c r="F154" s="68">
        <f>TRUNC(0.48,2)</f>
        <v>0.48</v>
      </c>
      <c r="G154" s="63">
        <f>TRUNC(E154*F154,2)</f>
        <v>2.88</v>
      </c>
      <c r="H154" s="63"/>
      <c r="I154" s="64"/>
    </row>
    <row r="155" spans="2:9" s="67" customFormat="1" ht="28.5">
      <c r="B155" s="67" t="s">
        <v>72</v>
      </c>
      <c r="C155" s="67" t="s">
        <v>73</v>
      </c>
      <c r="D155" s="67" t="s">
        <v>6</v>
      </c>
      <c r="E155" s="67">
        <v>0.7725</v>
      </c>
      <c r="F155" s="68">
        <f>TRUNC(13.08,2)</f>
        <v>13.08</v>
      </c>
      <c r="G155" s="63">
        <f>TRUNC(E155*F155,2)</f>
        <v>10.1</v>
      </c>
      <c r="H155" s="63"/>
      <c r="I155" s="64"/>
    </row>
    <row r="156" spans="2:9" s="67" customFormat="1" ht="14.25">
      <c r="B156" s="67" t="s">
        <v>83</v>
      </c>
      <c r="C156" s="67" t="s">
        <v>84</v>
      </c>
      <c r="D156" s="67" t="s">
        <v>6</v>
      </c>
      <c r="E156" s="67">
        <v>1.545</v>
      </c>
      <c r="F156" s="68">
        <f>TRUNC(18.05,2)</f>
        <v>18.05</v>
      </c>
      <c r="G156" s="63">
        <f>TRUNC(E156*F156,2)</f>
        <v>27.88</v>
      </c>
      <c r="H156" s="63"/>
      <c r="I156" s="64"/>
    </row>
    <row r="157" spans="2:9" s="67" customFormat="1" ht="14.25">
      <c r="B157" s="67" t="s">
        <v>348</v>
      </c>
      <c r="C157" s="67" t="s">
        <v>349</v>
      </c>
      <c r="D157" s="67" t="s">
        <v>1</v>
      </c>
      <c r="E157" s="67">
        <v>0.0325</v>
      </c>
      <c r="F157" s="68">
        <f>TRUNC(211.3936,2)</f>
        <v>211.39</v>
      </c>
      <c r="G157" s="63">
        <f>TRUNC(E157*F157,2)</f>
        <v>6.87</v>
      </c>
      <c r="H157" s="63"/>
      <c r="I157" s="64"/>
    </row>
    <row r="158" spans="5:9" s="67" customFormat="1" ht="14.25">
      <c r="E158" s="67" t="s">
        <v>7</v>
      </c>
      <c r="F158" s="68"/>
      <c r="G158" s="63">
        <f>TRUNC(SUM(G153:G157),2)</f>
        <v>70.05</v>
      </c>
      <c r="H158" s="63"/>
      <c r="I158" s="64"/>
    </row>
    <row r="159" spans="1:9" s="99" customFormat="1" ht="42.75">
      <c r="A159" s="99" t="s">
        <v>376</v>
      </c>
      <c r="B159" s="99" t="s">
        <v>350</v>
      </c>
      <c r="C159" s="99" t="s">
        <v>351</v>
      </c>
      <c r="D159" s="99" t="s">
        <v>0</v>
      </c>
      <c r="E159" s="99">
        <v>3.6</v>
      </c>
      <c r="F159" s="100">
        <f>TRUNC(G164,2)</f>
        <v>23.72</v>
      </c>
      <c r="G159" s="101">
        <f>TRUNC(F159*1.2977,2)</f>
        <v>30.78</v>
      </c>
      <c r="H159" s="101">
        <f>TRUNC(F159*E159,2)</f>
        <v>85.39</v>
      </c>
      <c r="I159" s="102">
        <f>TRUNC(E159*G159,2)</f>
        <v>110.8</v>
      </c>
    </row>
    <row r="160" spans="2:9" s="67" customFormat="1" ht="28.5">
      <c r="B160" s="67" t="s">
        <v>72</v>
      </c>
      <c r="C160" s="67" t="s">
        <v>73</v>
      </c>
      <c r="D160" s="67" t="s">
        <v>6</v>
      </c>
      <c r="E160" s="67">
        <v>0.41200000000000003</v>
      </c>
      <c r="F160" s="68">
        <f>TRUNC(13.08,2)</f>
        <v>13.08</v>
      </c>
      <c r="G160" s="63">
        <f>TRUNC(E160*F160,2)</f>
        <v>5.38</v>
      </c>
      <c r="H160" s="63"/>
      <c r="I160" s="64"/>
    </row>
    <row r="161" spans="2:9" s="67" customFormat="1" ht="14.25">
      <c r="B161" s="67" t="s">
        <v>83</v>
      </c>
      <c r="C161" s="67" t="s">
        <v>84</v>
      </c>
      <c r="D161" s="67" t="s">
        <v>6</v>
      </c>
      <c r="E161" s="67">
        <v>0.41200000000000003</v>
      </c>
      <c r="F161" s="68">
        <f>TRUNC(18.05,2)</f>
        <v>18.05</v>
      </c>
      <c r="G161" s="63">
        <f>TRUNC(E161*F161,2)</f>
        <v>7.43</v>
      </c>
      <c r="H161" s="63"/>
      <c r="I161" s="64"/>
    </row>
    <row r="162" spans="2:9" s="67" customFormat="1" ht="28.5">
      <c r="B162" s="67" t="s">
        <v>352</v>
      </c>
      <c r="C162" s="67" t="s">
        <v>353</v>
      </c>
      <c r="D162" s="67" t="s">
        <v>0</v>
      </c>
      <c r="E162" s="67">
        <v>1</v>
      </c>
      <c r="F162" s="68">
        <f>TRUNC(4.5364,2)</f>
        <v>4.53</v>
      </c>
      <c r="G162" s="63">
        <f>TRUNC(E162*F162,2)</f>
        <v>4.53</v>
      </c>
      <c r="H162" s="63"/>
      <c r="I162" s="64"/>
    </row>
    <row r="163" spans="2:9" s="67" customFormat="1" ht="14.25">
      <c r="B163" s="67" t="s">
        <v>293</v>
      </c>
      <c r="C163" s="67" t="s">
        <v>294</v>
      </c>
      <c r="D163" s="67" t="s">
        <v>1</v>
      </c>
      <c r="E163" s="67">
        <v>0.024</v>
      </c>
      <c r="F163" s="68">
        <f>TRUNC(266.0371,2)</f>
        <v>266.03</v>
      </c>
      <c r="G163" s="63">
        <f>TRUNC(E163*F163,2)</f>
        <v>6.38</v>
      </c>
      <c r="H163" s="63"/>
      <c r="I163" s="64"/>
    </row>
    <row r="164" spans="5:9" s="67" customFormat="1" ht="14.25">
      <c r="E164" s="67" t="s">
        <v>7</v>
      </c>
      <c r="F164" s="68"/>
      <c r="G164" s="63">
        <f>TRUNC(SUM(G160:G163),2)</f>
        <v>23.72</v>
      </c>
      <c r="H164" s="63"/>
      <c r="I164" s="64"/>
    </row>
    <row r="165" spans="1:9" s="99" customFormat="1" ht="28.5">
      <c r="A165" s="99" t="s">
        <v>377</v>
      </c>
      <c r="B165" s="99" t="s">
        <v>354</v>
      </c>
      <c r="C165" s="99" t="s">
        <v>355</v>
      </c>
      <c r="D165" s="99" t="s">
        <v>1</v>
      </c>
      <c r="E165" s="99">
        <v>0.05</v>
      </c>
      <c r="F165" s="100">
        <f>TRUNC(G175,2)</f>
        <v>1424.23</v>
      </c>
      <c r="G165" s="101">
        <f>TRUNC(F165*1.2977,2)</f>
        <v>1848.22</v>
      </c>
      <c r="H165" s="101">
        <f>TRUNC(F165*E165,2)</f>
        <v>71.21</v>
      </c>
      <c r="I165" s="102">
        <f>TRUNC(E165*G165,2)</f>
        <v>92.41</v>
      </c>
    </row>
    <row r="166" spans="2:9" s="67" customFormat="1" ht="28.5">
      <c r="B166" s="67" t="s">
        <v>4</v>
      </c>
      <c r="C166" s="67" t="s">
        <v>71</v>
      </c>
      <c r="D166" s="67" t="s">
        <v>5</v>
      </c>
      <c r="E166" s="67">
        <v>1.4</v>
      </c>
      <c r="F166" s="68">
        <f>TRUNC(8.55,2)</f>
        <v>8.55</v>
      </c>
      <c r="G166" s="63">
        <f aca="true" t="shared" si="5" ref="G166:G174">TRUNC(E166*F166,2)</f>
        <v>11.97</v>
      </c>
      <c r="H166" s="63"/>
      <c r="I166" s="64"/>
    </row>
    <row r="167" spans="2:9" s="67" customFormat="1" ht="14.25">
      <c r="B167" s="67" t="s">
        <v>356</v>
      </c>
      <c r="C167" s="67" t="s">
        <v>357</v>
      </c>
      <c r="D167" s="67" t="s">
        <v>5</v>
      </c>
      <c r="E167" s="67">
        <v>75</v>
      </c>
      <c r="F167" s="68">
        <f>TRUNC(4.1384,2)</f>
        <v>4.13</v>
      </c>
      <c r="G167" s="63">
        <f t="shared" si="5"/>
        <v>309.75</v>
      </c>
      <c r="H167" s="63"/>
      <c r="I167" s="64"/>
    </row>
    <row r="168" spans="2:9" s="67" customFormat="1" ht="14.25">
      <c r="B168" s="67" t="s">
        <v>358</v>
      </c>
      <c r="C168" s="67" t="s">
        <v>359</v>
      </c>
      <c r="D168" s="67" t="s">
        <v>5</v>
      </c>
      <c r="E168" s="67">
        <v>1.2</v>
      </c>
      <c r="F168" s="68">
        <f>TRUNC(6.4,2)</f>
        <v>6.4</v>
      </c>
      <c r="G168" s="63">
        <f t="shared" si="5"/>
        <v>7.68</v>
      </c>
      <c r="H168" s="63"/>
      <c r="I168" s="64"/>
    </row>
    <row r="169" spans="2:9" s="67" customFormat="1" ht="28.5">
      <c r="B169" s="67" t="s">
        <v>72</v>
      </c>
      <c r="C169" s="67" t="s">
        <v>73</v>
      </c>
      <c r="D169" s="67" t="s">
        <v>6</v>
      </c>
      <c r="E169" s="67">
        <v>30.900000000000002</v>
      </c>
      <c r="F169" s="68">
        <f>TRUNC(13.08,2)</f>
        <v>13.08</v>
      </c>
      <c r="G169" s="63">
        <f t="shared" si="5"/>
        <v>404.17</v>
      </c>
      <c r="H169" s="63"/>
      <c r="I169" s="64"/>
    </row>
    <row r="170" spans="2:9" s="67" customFormat="1" ht="14.25">
      <c r="B170" s="67" t="s">
        <v>83</v>
      </c>
      <c r="C170" s="67" t="s">
        <v>84</v>
      </c>
      <c r="D170" s="67" t="s">
        <v>6</v>
      </c>
      <c r="E170" s="67">
        <v>4.12</v>
      </c>
      <c r="F170" s="68">
        <f>TRUNC(18.05,2)</f>
        <v>18.05</v>
      </c>
      <c r="G170" s="63">
        <f t="shared" si="5"/>
        <v>74.36</v>
      </c>
      <c r="H170" s="63"/>
      <c r="I170" s="64"/>
    </row>
    <row r="171" spans="2:9" s="67" customFormat="1" ht="28.5">
      <c r="B171" s="67" t="s">
        <v>157</v>
      </c>
      <c r="C171" s="67" t="s">
        <v>85</v>
      </c>
      <c r="D171" s="67" t="s">
        <v>6</v>
      </c>
      <c r="E171" s="67">
        <v>6.18</v>
      </c>
      <c r="F171" s="68">
        <f>TRUNC(18.05,2)</f>
        <v>18.05</v>
      </c>
      <c r="G171" s="63">
        <f t="shared" si="5"/>
        <v>111.54</v>
      </c>
      <c r="H171" s="63"/>
      <c r="I171" s="64"/>
    </row>
    <row r="172" spans="2:9" s="67" customFormat="1" ht="28.5">
      <c r="B172" s="67" t="s">
        <v>158</v>
      </c>
      <c r="C172" s="67" t="s">
        <v>159</v>
      </c>
      <c r="D172" s="67" t="s">
        <v>6</v>
      </c>
      <c r="E172" s="67">
        <v>15.450000000000001</v>
      </c>
      <c r="F172" s="68">
        <f>TRUNC(18.05,2)</f>
        <v>18.05</v>
      </c>
      <c r="G172" s="63">
        <f t="shared" si="5"/>
        <v>278.87</v>
      </c>
      <c r="H172" s="63"/>
      <c r="I172" s="64"/>
    </row>
    <row r="173" spans="2:9" s="67" customFormat="1" ht="14.25">
      <c r="B173" s="67" t="s">
        <v>147</v>
      </c>
      <c r="C173" s="67" t="s">
        <v>360</v>
      </c>
      <c r="D173" s="67" t="s">
        <v>0</v>
      </c>
      <c r="E173" s="67">
        <v>1.1</v>
      </c>
      <c r="F173" s="68">
        <f>TRUNC(21.6761,2)</f>
        <v>21.67</v>
      </c>
      <c r="G173" s="63">
        <f t="shared" si="5"/>
        <v>23.83</v>
      </c>
      <c r="H173" s="63"/>
      <c r="I173" s="64"/>
    </row>
    <row r="174" spans="2:9" s="67" customFormat="1" ht="14.25">
      <c r="B174" s="67" t="s">
        <v>361</v>
      </c>
      <c r="C174" s="67" t="s">
        <v>362</v>
      </c>
      <c r="D174" s="67" t="s">
        <v>1</v>
      </c>
      <c r="E174" s="67">
        <v>1.05</v>
      </c>
      <c r="F174" s="68">
        <f>TRUNC(192.4416,2)</f>
        <v>192.44</v>
      </c>
      <c r="G174" s="63">
        <f t="shared" si="5"/>
        <v>202.06</v>
      </c>
      <c r="H174" s="63"/>
      <c r="I174" s="64"/>
    </row>
    <row r="175" spans="5:9" s="67" customFormat="1" ht="14.25">
      <c r="E175" s="67" t="s">
        <v>7</v>
      </c>
      <c r="F175" s="68"/>
      <c r="G175" s="63">
        <f>TRUNC(SUM(G166:G174),2)</f>
        <v>1424.23</v>
      </c>
      <c r="H175" s="63"/>
      <c r="I175" s="64"/>
    </row>
    <row r="176" spans="1:9" s="99" customFormat="1" ht="42.75">
      <c r="A176" s="99" t="s">
        <v>525</v>
      </c>
      <c r="B176" s="99" t="s">
        <v>740</v>
      </c>
      <c r="C176" s="99" t="s">
        <v>514</v>
      </c>
      <c r="D176" s="99" t="s">
        <v>1</v>
      </c>
      <c r="E176" s="99">
        <v>0.4</v>
      </c>
      <c r="F176" s="100">
        <f>TRUNC(G183,2)</f>
        <v>506.62</v>
      </c>
      <c r="G176" s="101">
        <f>TRUNC(F176*1.2977,2)</f>
        <v>657.44</v>
      </c>
      <c r="H176" s="101">
        <f>TRUNC(F176*E176,2)</f>
        <v>202.64</v>
      </c>
      <c r="I176" s="102">
        <f>TRUNC(E176*G176,2)</f>
        <v>262.97</v>
      </c>
    </row>
    <row r="177" spans="2:9" s="76" customFormat="1" ht="15">
      <c r="B177" s="80" t="s">
        <v>240</v>
      </c>
      <c r="C177" s="76" t="s">
        <v>241</v>
      </c>
      <c r="D177" s="76" t="s">
        <v>1</v>
      </c>
      <c r="E177" s="76">
        <v>1.103</v>
      </c>
      <c r="F177" s="79">
        <v>316.4933</v>
      </c>
      <c r="G177" s="77">
        <f aca="true" t="shared" si="6" ref="G177:G182">TRUNC(E177*F177,2)</f>
        <v>349.09</v>
      </c>
      <c r="H177" s="77"/>
      <c r="I177" s="78"/>
    </row>
    <row r="178" spans="2:9" s="67" customFormat="1" ht="14.25">
      <c r="B178" s="67" t="s">
        <v>722</v>
      </c>
      <c r="C178" s="67" t="s">
        <v>127</v>
      </c>
      <c r="D178" s="67" t="s">
        <v>6</v>
      </c>
      <c r="E178" s="67">
        <v>5.538</v>
      </c>
      <c r="F178" s="68">
        <f>TRUNC(19.85,2)</f>
        <v>19.85</v>
      </c>
      <c r="G178" s="63">
        <f t="shared" si="6"/>
        <v>109.92</v>
      </c>
      <c r="H178" s="63"/>
      <c r="I178" s="64"/>
    </row>
    <row r="179" spans="2:9" s="67" customFormat="1" ht="14.25">
      <c r="B179" s="67" t="s">
        <v>727</v>
      </c>
      <c r="C179" s="67" t="s">
        <v>307</v>
      </c>
      <c r="D179" s="67" t="s">
        <v>6</v>
      </c>
      <c r="E179" s="67">
        <v>1.846</v>
      </c>
      <c r="F179" s="68">
        <f>TRUNC(25.18,2)</f>
        <v>25.18</v>
      </c>
      <c r="G179" s="63">
        <f t="shared" si="6"/>
        <v>46.48</v>
      </c>
      <c r="H179" s="63"/>
      <c r="I179" s="64"/>
    </row>
    <row r="180" spans="2:9" s="76" customFormat="1" ht="15">
      <c r="B180" s="76" t="s">
        <v>728</v>
      </c>
      <c r="C180" s="76" t="s">
        <v>515</v>
      </c>
      <c r="D180" s="76" t="s">
        <v>6</v>
      </c>
      <c r="E180" s="76">
        <v>0</v>
      </c>
      <c r="F180" s="79">
        <f>TRUNC(24.72,2)</f>
        <v>24.72</v>
      </c>
      <c r="G180" s="77">
        <f t="shared" si="6"/>
        <v>0</v>
      </c>
      <c r="H180" s="77"/>
      <c r="I180" s="78"/>
    </row>
    <row r="181" spans="2:9" s="67" customFormat="1" ht="28.5">
      <c r="B181" s="67" t="s">
        <v>729</v>
      </c>
      <c r="C181" s="67" t="s">
        <v>730</v>
      </c>
      <c r="D181" s="67" t="s">
        <v>385</v>
      </c>
      <c r="E181" s="67">
        <v>1.174</v>
      </c>
      <c r="F181" s="68">
        <f>TRUNC(0.29,2)</f>
        <v>0.29</v>
      </c>
      <c r="G181" s="63">
        <f t="shared" si="6"/>
        <v>0.34</v>
      </c>
      <c r="H181" s="63"/>
      <c r="I181" s="64"/>
    </row>
    <row r="182" spans="2:9" s="67" customFormat="1" ht="28.5">
      <c r="B182" s="67" t="s">
        <v>731</v>
      </c>
      <c r="C182" s="67" t="s">
        <v>732</v>
      </c>
      <c r="D182" s="67" t="s">
        <v>52</v>
      </c>
      <c r="E182" s="67">
        <v>0.672</v>
      </c>
      <c r="F182" s="68">
        <f>TRUNC(1.18,2)</f>
        <v>1.18</v>
      </c>
      <c r="G182" s="63">
        <f t="shared" si="6"/>
        <v>0.79</v>
      </c>
      <c r="H182" s="63"/>
      <c r="I182" s="64"/>
    </row>
    <row r="183" spans="5:9" s="67" customFormat="1" ht="14.25">
      <c r="E183" s="67" t="s">
        <v>7</v>
      </c>
      <c r="F183" s="68"/>
      <c r="G183" s="63">
        <f>TRUNC(SUM(G177:G182),2)</f>
        <v>506.62</v>
      </c>
      <c r="H183" s="63"/>
      <c r="I183" s="64"/>
    </row>
    <row r="184" spans="1:9" s="99" customFormat="1" ht="42.75">
      <c r="A184" s="99" t="s">
        <v>526</v>
      </c>
      <c r="B184" s="99" t="s">
        <v>733</v>
      </c>
      <c r="C184" s="99" t="s">
        <v>516</v>
      </c>
      <c r="D184" s="99" t="s">
        <v>5</v>
      </c>
      <c r="E184" s="99">
        <v>40.13</v>
      </c>
      <c r="F184" s="100">
        <f>TRUNC(G190,2)</f>
        <v>11.16</v>
      </c>
      <c r="G184" s="101">
        <f>TRUNC(F184*1.2977,2)</f>
        <v>14.48</v>
      </c>
      <c r="H184" s="101">
        <f>TRUNC(F184*E184,2)</f>
        <v>447.85</v>
      </c>
      <c r="I184" s="102">
        <f>TRUNC(E184*G184,2)</f>
        <v>581.08</v>
      </c>
    </row>
    <row r="185" spans="2:9" s="67" customFormat="1" ht="28.5">
      <c r="B185" s="67" t="s">
        <v>734</v>
      </c>
      <c r="C185" s="67" t="s">
        <v>517</v>
      </c>
      <c r="D185" s="67" t="s">
        <v>12</v>
      </c>
      <c r="E185" s="67">
        <v>0.743</v>
      </c>
      <c r="F185" s="68">
        <f>TRUNC(0.25,2)</f>
        <v>0.25</v>
      </c>
      <c r="G185" s="63">
        <f>TRUNC(E185*F185,2)</f>
        <v>0.18</v>
      </c>
      <c r="H185" s="63"/>
      <c r="I185" s="64"/>
    </row>
    <row r="186" spans="2:9" s="67" customFormat="1" ht="14.25">
      <c r="B186" s="67" t="s">
        <v>735</v>
      </c>
      <c r="C186" s="67" t="s">
        <v>518</v>
      </c>
      <c r="D186" s="67" t="s">
        <v>5</v>
      </c>
      <c r="E186" s="67">
        <v>0.025</v>
      </c>
      <c r="F186" s="68">
        <f>TRUNC(12.9,2)</f>
        <v>12.9</v>
      </c>
      <c r="G186" s="63">
        <f>TRUNC(E186*F186,2)</f>
        <v>0.32</v>
      </c>
      <c r="H186" s="63"/>
      <c r="I186" s="64"/>
    </row>
    <row r="187" spans="2:9" s="67" customFormat="1" ht="14.25">
      <c r="B187" s="67" t="s">
        <v>736</v>
      </c>
      <c r="C187" s="67" t="s">
        <v>519</v>
      </c>
      <c r="D187" s="67" t="s">
        <v>6</v>
      </c>
      <c r="E187" s="67">
        <v>0.1278</v>
      </c>
      <c r="F187" s="68">
        <f>TRUNC(25.04,2)</f>
        <v>25.04</v>
      </c>
      <c r="G187" s="63">
        <f>TRUNC(E187*F187,2)</f>
        <v>3.2</v>
      </c>
      <c r="H187" s="63"/>
      <c r="I187" s="64"/>
    </row>
    <row r="188" spans="2:9" s="67" customFormat="1" ht="14.25">
      <c r="B188" s="67" t="s">
        <v>737</v>
      </c>
      <c r="C188" s="67" t="s">
        <v>520</v>
      </c>
      <c r="D188" s="67" t="s">
        <v>6</v>
      </c>
      <c r="E188" s="67">
        <v>0.0209</v>
      </c>
      <c r="F188" s="68">
        <f>TRUNC(19.56,2)</f>
        <v>19.56</v>
      </c>
      <c r="G188" s="63">
        <f>TRUNC(E188*F188,2)</f>
        <v>0.4</v>
      </c>
      <c r="H188" s="63"/>
      <c r="I188" s="64"/>
    </row>
    <row r="189" spans="2:9" s="67" customFormat="1" ht="28.5">
      <c r="B189" s="67" t="s">
        <v>738</v>
      </c>
      <c r="C189" s="67" t="s">
        <v>739</v>
      </c>
      <c r="D189" s="67" t="s">
        <v>5</v>
      </c>
      <c r="E189" s="67">
        <v>1</v>
      </c>
      <c r="F189" s="68">
        <f>TRUNC(7.06,2)</f>
        <v>7.06</v>
      </c>
      <c r="G189" s="63">
        <f>TRUNC(E189*F189,2)</f>
        <v>7.06</v>
      </c>
      <c r="H189" s="63"/>
      <c r="I189" s="64"/>
    </row>
    <row r="190" spans="5:9" s="67" customFormat="1" ht="14.25">
      <c r="E190" s="67" t="s">
        <v>7</v>
      </c>
      <c r="F190" s="68"/>
      <c r="G190" s="63">
        <f>TRUNC(SUM(G185:G189),2)</f>
        <v>11.16</v>
      </c>
      <c r="H190" s="63"/>
      <c r="I190" s="64"/>
    </row>
    <row r="191" spans="1:9" s="99" customFormat="1" ht="43.5">
      <c r="A191" s="99" t="s">
        <v>904</v>
      </c>
      <c r="B191" s="99" t="s">
        <v>921</v>
      </c>
      <c r="C191" s="99" t="s">
        <v>922</v>
      </c>
      <c r="D191" s="99" t="s">
        <v>0</v>
      </c>
      <c r="E191" s="99">
        <v>20.56</v>
      </c>
      <c r="F191" s="100">
        <f>TRUNC(G200,2)</f>
        <v>69.85</v>
      </c>
      <c r="G191" s="101">
        <f>TRUNC(F191*1.2977,2)</f>
        <v>90.64</v>
      </c>
      <c r="H191" s="101">
        <f>TRUNC(F191*E191,2)</f>
        <v>1436.11</v>
      </c>
      <c r="I191" s="102">
        <f>TRUNC(E191*G191,2)</f>
        <v>1863.55</v>
      </c>
    </row>
    <row r="192" spans="2:9" s="76" customFormat="1" ht="30">
      <c r="B192" s="76" t="s">
        <v>905</v>
      </c>
      <c r="C192" s="76" t="s">
        <v>906</v>
      </c>
      <c r="D192" s="76" t="s">
        <v>0</v>
      </c>
      <c r="E192" s="76">
        <v>1.1224</v>
      </c>
      <c r="F192" s="79">
        <v>6.88</v>
      </c>
      <c r="G192" s="77">
        <f aca="true" t="shared" si="7" ref="G192:G199">TRUNC(E192*F192,2)</f>
        <v>7.72</v>
      </c>
      <c r="H192" s="77"/>
      <c r="I192" s="78"/>
    </row>
    <row r="193" spans="2:9" s="67" customFormat="1" ht="28.5">
      <c r="B193" s="67" t="s">
        <v>916</v>
      </c>
      <c r="C193" s="67" t="s">
        <v>897</v>
      </c>
      <c r="D193" s="67" t="s">
        <v>3</v>
      </c>
      <c r="E193" s="67">
        <v>0.2</v>
      </c>
      <c r="F193" s="68">
        <f>TRUNC(1.46,2)</f>
        <v>1.46</v>
      </c>
      <c r="G193" s="63">
        <f t="shared" si="7"/>
        <v>0.29</v>
      </c>
      <c r="H193" s="63"/>
      <c r="I193" s="64"/>
    </row>
    <row r="194" spans="2:9" s="67" customFormat="1" ht="28.5">
      <c r="B194" s="67" t="s">
        <v>917</v>
      </c>
      <c r="C194" s="67" t="s">
        <v>899</v>
      </c>
      <c r="D194" s="67" t="s">
        <v>3</v>
      </c>
      <c r="E194" s="67">
        <v>0.25</v>
      </c>
      <c r="F194" s="68">
        <f>TRUNC(7.05,2)</f>
        <v>7.05</v>
      </c>
      <c r="G194" s="63">
        <f t="shared" si="7"/>
        <v>1.76</v>
      </c>
      <c r="H194" s="63"/>
      <c r="I194" s="64"/>
    </row>
    <row r="195" spans="2:9" s="67" customFormat="1" ht="14.25">
      <c r="B195" s="67" t="s">
        <v>918</v>
      </c>
      <c r="C195" s="67" t="s">
        <v>901</v>
      </c>
      <c r="D195" s="67" t="s">
        <v>0</v>
      </c>
      <c r="E195" s="67">
        <v>1.128</v>
      </c>
      <c r="F195" s="68">
        <f>TRUNC(0.66,2)</f>
        <v>0.66</v>
      </c>
      <c r="G195" s="63">
        <f t="shared" si="7"/>
        <v>0.74</v>
      </c>
      <c r="H195" s="63"/>
      <c r="I195" s="64"/>
    </row>
    <row r="196" spans="2:9" s="67" customFormat="1" ht="14.25">
      <c r="B196" s="67" t="s">
        <v>722</v>
      </c>
      <c r="C196" s="67" t="s">
        <v>127</v>
      </c>
      <c r="D196" s="67" t="s">
        <v>6</v>
      </c>
      <c r="E196" s="67">
        <v>0.5573</v>
      </c>
      <c r="F196" s="68">
        <f>TRUNC(19.85,2)</f>
        <v>19.85</v>
      </c>
      <c r="G196" s="63">
        <f t="shared" si="7"/>
        <v>11.06</v>
      </c>
      <c r="H196" s="63"/>
      <c r="I196" s="64"/>
    </row>
    <row r="197" spans="2:9" s="67" customFormat="1" ht="14.25">
      <c r="B197" s="67" t="s">
        <v>727</v>
      </c>
      <c r="C197" s="67" t="s">
        <v>307</v>
      </c>
      <c r="D197" s="67" t="s">
        <v>6</v>
      </c>
      <c r="E197" s="67">
        <v>0.3317</v>
      </c>
      <c r="F197" s="68">
        <f>TRUNC(25.18,2)</f>
        <v>25.18</v>
      </c>
      <c r="G197" s="63">
        <f t="shared" si="7"/>
        <v>8.35</v>
      </c>
      <c r="H197" s="63"/>
      <c r="I197" s="64"/>
    </row>
    <row r="198" spans="2:9" s="67" customFormat="1" ht="14.25">
      <c r="B198" s="67" t="s">
        <v>728</v>
      </c>
      <c r="C198" s="67" t="s">
        <v>515</v>
      </c>
      <c r="D198" s="67" t="s">
        <v>6</v>
      </c>
      <c r="E198" s="67">
        <v>0.2256</v>
      </c>
      <c r="F198" s="68">
        <f>TRUNC(24.72,2)</f>
        <v>24.72</v>
      </c>
      <c r="G198" s="63">
        <f t="shared" si="7"/>
        <v>5.57</v>
      </c>
      <c r="H198" s="63"/>
      <c r="I198" s="64"/>
    </row>
    <row r="199" spans="2:9" s="67" customFormat="1" ht="28.5">
      <c r="B199" s="67" t="s">
        <v>919</v>
      </c>
      <c r="C199" s="67" t="s">
        <v>920</v>
      </c>
      <c r="D199" s="67" t="s">
        <v>1</v>
      </c>
      <c r="E199" s="67">
        <v>0.1213</v>
      </c>
      <c r="F199" s="68">
        <f>TRUNC(283.28,2)</f>
        <v>283.28</v>
      </c>
      <c r="G199" s="63">
        <f t="shared" si="7"/>
        <v>34.36</v>
      </c>
      <c r="H199" s="63"/>
      <c r="I199" s="64"/>
    </row>
    <row r="200" spans="5:9" s="67" customFormat="1" ht="14.25">
      <c r="E200" s="67" t="s">
        <v>7</v>
      </c>
      <c r="F200" s="68"/>
      <c r="G200" s="63">
        <f>TRUNC(SUM(G192:G199),2)</f>
        <v>69.85</v>
      </c>
      <c r="H200" s="63"/>
      <c r="I200" s="64"/>
    </row>
    <row r="201" spans="1:9" s="99" customFormat="1" ht="43.5">
      <c r="A201" s="99" t="s">
        <v>908</v>
      </c>
      <c r="B201" s="99" t="s">
        <v>740</v>
      </c>
      <c r="C201" s="99" t="s">
        <v>923</v>
      </c>
      <c r="D201" s="99" t="s">
        <v>1</v>
      </c>
      <c r="E201" s="99">
        <v>0.09</v>
      </c>
      <c r="F201" s="100">
        <f>TRUNC(G208,2)</f>
        <v>470.02</v>
      </c>
      <c r="G201" s="101">
        <f>TRUNC(F201*1.2977,2)</f>
        <v>609.94</v>
      </c>
      <c r="H201" s="101">
        <f>TRUNC(F201*E201,2)</f>
        <v>42.3</v>
      </c>
      <c r="I201" s="102">
        <f>TRUNC(E201*G201,2)</f>
        <v>54.89</v>
      </c>
    </row>
    <row r="202" spans="2:9" s="76" customFormat="1" ht="30">
      <c r="B202" s="76" t="s">
        <v>919</v>
      </c>
      <c r="C202" s="76" t="s">
        <v>909</v>
      </c>
      <c r="D202" s="76" t="s">
        <v>1</v>
      </c>
      <c r="E202" s="76">
        <v>1.103</v>
      </c>
      <c r="F202" s="79">
        <f>TRUNC(283.311494,2)</f>
        <v>283.31</v>
      </c>
      <c r="G202" s="77">
        <f aca="true" t="shared" si="8" ref="G202:G207">TRUNC(E202*F202,2)</f>
        <v>312.49</v>
      </c>
      <c r="H202" s="77"/>
      <c r="I202" s="78"/>
    </row>
    <row r="203" spans="2:9" s="67" customFormat="1" ht="14.25">
      <c r="B203" s="67" t="s">
        <v>722</v>
      </c>
      <c r="C203" s="67" t="s">
        <v>127</v>
      </c>
      <c r="D203" s="67" t="s">
        <v>6</v>
      </c>
      <c r="E203" s="67">
        <v>5.538</v>
      </c>
      <c r="F203" s="68">
        <f>TRUNC(19.85,2)</f>
        <v>19.85</v>
      </c>
      <c r="G203" s="63">
        <f t="shared" si="8"/>
        <v>109.92</v>
      </c>
      <c r="H203" s="63"/>
      <c r="I203" s="64"/>
    </row>
    <row r="204" spans="2:9" s="67" customFormat="1" ht="14.25">
      <c r="B204" s="67" t="s">
        <v>727</v>
      </c>
      <c r="C204" s="67" t="s">
        <v>307</v>
      </c>
      <c r="D204" s="67" t="s">
        <v>6</v>
      </c>
      <c r="E204" s="67">
        <v>1.846</v>
      </c>
      <c r="F204" s="68">
        <f>TRUNC(25.18,2)</f>
        <v>25.18</v>
      </c>
      <c r="G204" s="63">
        <f t="shared" si="8"/>
        <v>46.48</v>
      </c>
      <c r="H204" s="63"/>
      <c r="I204" s="64"/>
    </row>
    <row r="205" spans="2:9" s="76" customFormat="1" ht="15">
      <c r="B205" s="76" t="s">
        <v>728</v>
      </c>
      <c r="C205" s="76" t="s">
        <v>515</v>
      </c>
      <c r="D205" s="76" t="s">
        <v>6</v>
      </c>
      <c r="E205" s="76">
        <v>0</v>
      </c>
      <c r="F205" s="79">
        <f>TRUNC(24.72,2)</f>
        <v>24.72</v>
      </c>
      <c r="G205" s="77">
        <f t="shared" si="8"/>
        <v>0</v>
      </c>
      <c r="H205" s="77"/>
      <c r="I205" s="78"/>
    </row>
    <row r="206" spans="2:9" s="67" customFormat="1" ht="28.5">
      <c r="B206" s="67" t="s">
        <v>729</v>
      </c>
      <c r="C206" s="67" t="s">
        <v>730</v>
      </c>
      <c r="D206" s="67" t="s">
        <v>385</v>
      </c>
      <c r="E206" s="67">
        <v>1.174</v>
      </c>
      <c r="F206" s="68">
        <f>TRUNC(0.29,2)</f>
        <v>0.29</v>
      </c>
      <c r="G206" s="63">
        <f t="shared" si="8"/>
        <v>0.34</v>
      </c>
      <c r="H206" s="63"/>
      <c r="I206" s="64"/>
    </row>
    <row r="207" spans="2:9" s="67" customFormat="1" ht="28.5">
      <c r="B207" s="67" t="s">
        <v>731</v>
      </c>
      <c r="C207" s="67" t="s">
        <v>732</v>
      </c>
      <c r="D207" s="67" t="s">
        <v>52</v>
      </c>
      <c r="E207" s="67">
        <v>0.672</v>
      </c>
      <c r="F207" s="68">
        <f>TRUNC(1.18,2)</f>
        <v>1.18</v>
      </c>
      <c r="G207" s="63">
        <f t="shared" si="8"/>
        <v>0.79</v>
      </c>
      <c r="H207" s="63"/>
      <c r="I207" s="64"/>
    </row>
    <row r="208" spans="5:9" s="67" customFormat="1" ht="14.25">
      <c r="E208" s="67" t="s">
        <v>7</v>
      </c>
      <c r="F208" s="68"/>
      <c r="G208" s="63">
        <f>TRUNC(SUM(G202:G207),2)</f>
        <v>470.02</v>
      </c>
      <c r="H208" s="63"/>
      <c r="I208" s="64"/>
    </row>
    <row r="209" spans="1:9" s="44" customFormat="1" ht="15.75">
      <c r="A209" s="53" t="s">
        <v>53</v>
      </c>
      <c r="B209" s="55"/>
      <c r="C209" s="54"/>
      <c r="D209" s="55"/>
      <c r="E209" s="55"/>
      <c r="F209" s="55"/>
      <c r="G209" s="55" t="s">
        <v>174</v>
      </c>
      <c r="H209" s="56">
        <f>H136+H152+H165+H159+H184+H176+H201+H191</f>
        <v>19760.539999999997</v>
      </c>
      <c r="I209" s="56">
        <f>I136+I152+I165+I159+I184+I176+I201+I191</f>
        <v>25642.95</v>
      </c>
    </row>
    <row r="210" spans="1:9" s="43" customFormat="1" ht="15.75">
      <c r="A210" s="43" t="s">
        <v>21</v>
      </c>
      <c r="B210" s="51"/>
      <c r="C210" s="52" t="s">
        <v>67</v>
      </c>
      <c r="D210" s="52"/>
      <c r="E210" s="52"/>
      <c r="F210" s="52"/>
      <c r="G210" s="52"/>
      <c r="H210" s="52"/>
      <c r="I210" s="50"/>
    </row>
    <row r="211" spans="1:10" s="99" customFormat="1" ht="42.75">
      <c r="A211" s="99" t="s">
        <v>55</v>
      </c>
      <c r="B211" s="99" t="s">
        <v>746</v>
      </c>
      <c r="C211" s="99" t="s">
        <v>412</v>
      </c>
      <c r="D211" s="99" t="s">
        <v>0</v>
      </c>
      <c r="E211" s="99">
        <v>119.05</v>
      </c>
      <c r="F211" s="100">
        <f>TRUNC(G218,2)</f>
        <v>158.72</v>
      </c>
      <c r="G211" s="101">
        <f>TRUNC(F211*1.2977,2)</f>
        <v>205.97</v>
      </c>
      <c r="H211" s="101">
        <f>TRUNC(F211*E211,2)</f>
        <v>18895.61</v>
      </c>
      <c r="I211" s="102">
        <f>TRUNC(E211*G211,2)</f>
        <v>24520.72</v>
      </c>
      <c r="J211" s="99">
        <v>119.05</v>
      </c>
    </row>
    <row r="212" spans="2:9" s="67" customFormat="1" ht="28.5">
      <c r="B212" s="67" t="s">
        <v>741</v>
      </c>
      <c r="C212" s="67" t="s">
        <v>124</v>
      </c>
      <c r="D212" s="67" t="s">
        <v>3</v>
      </c>
      <c r="E212" s="67">
        <v>1.68</v>
      </c>
      <c r="F212" s="68">
        <f>TRUNC(59.31,2)</f>
        <v>59.31</v>
      </c>
      <c r="G212" s="63">
        <f aca="true" t="shared" si="9" ref="G212:G217">TRUNC(E212*F212,2)</f>
        <v>99.64</v>
      </c>
      <c r="H212" s="63"/>
      <c r="I212" s="64"/>
    </row>
    <row r="213" spans="2:9" s="76" customFormat="1" ht="30">
      <c r="B213" s="76" t="s">
        <v>745</v>
      </c>
      <c r="C213" s="76" t="s">
        <v>129</v>
      </c>
      <c r="D213" s="76" t="s">
        <v>0</v>
      </c>
      <c r="E213" s="76">
        <v>1.05</v>
      </c>
      <c r="F213" s="79">
        <v>22.82</v>
      </c>
      <c r="G213" s="77">
        <f t="shared" si="9"/>
        <v>23.96</v>
      </c>
      <c r="H213" s="77"/>
      <c r="I213" s="78"/>
    </row>
    <row r="214" spans="2:9" s="67" customFormat="1" ht="14.25">
      <c r="B214" s="67" t="s">
        <v>742</v>
      </c>
      <c r="C214" s="67" t="s">
        <v>125</v>
      </c>
      <c r="D214" s="67" t="s">
        <v>5</v>
      </c>
      <c r="E214" s="67">
        <v>0.15</v>
      </c>
      <c r="F214" s="68">
        <f>TRUNC(11.96,2)</f>
        <v>11.96</v>
      </c>
      <c r="G214" s="63">
        <f t="shared" si="9"/>
        <v>1.79</v>
      </c>
      <c r="H214" s="63"/>
      <c r="I214" s="64"/>
    </row>
    <row r="215" spans="2:9" s="67" customFormat="1" ht="14.25">
      <c r="B215" s="67" t="s">
        <v>743</v>
      </c>
      <c r="C215" s="67" t="s">
        <v>126</v>
      </c>
      <c r="D215" s="67" t="s">
        <v>5</v>
      </c>
      <c r="E215" s="67">
        <v>0.07</v>
      </c>
      <c r="F215" s="68">
        <f>TRUNC(13.83,2)</f>
        <v>13.83</v>
      </c>
      <c r="G215" s="63">
        <f t="shared" si="9"/>
        <v>0.96</v>
      </c>
      <c r="H215" s="63"/>
      <c r="I215" s="64"/>
    </row>
    <row r="216" spans="2:9" s="67" customFormat="1" ht="14.25">
      <c r="B216" s="67" t="s">
        <v>722</v>
      </c>
      <c r="C216" s="67" t="s">
        <v>127</v>
      </c>
      <c r="D216" s="67" t="s">
        <v>6</v>
      </c>
      <c r="E216" s="67">
        <v>1</v>
      </c>
      <c r="F216" s="68">
        <f>TRUNC(19.85,2)</f>
        <v>19.85</v>
      </c>
      <c r="G216" s="63">
        <f t="shared" si="9"/>
        <v>19.85</v>
      </c>
      <c r="H216" s="63"/>
      <c r="I216" s="64"/>
    </row>
    <row r="217" spans="2:9" s="67" customFormat="1" ht="14.25">
      <c r="B217" s="67" t="s">
        <v>744</v>
      </c>
      <c r="C217" s="67" t="s">
        <v>128</v>
      </c>
      <c r="D217" s="67" t="s">
        <v>6</v>
      </c>
      <c r="E217" s="67">
        <v>0.5</v>
      </c>
      <c r="F217" s="68">
        <f>TRUNC(25.04,2)</f>
        <v>25.04</v>
      </c>
      <c r="G217" s="63">
        <f t="shared" si="9"/>
        <v>12.52</v>
      </c>
      <c r="H217" s="63"/>
      <c r="I217" s="64"/>
    </row>
    <row r="218" spans="5:9" s="67" customFormat="1" ht="14.25">
      <c r="E218" s="67" t="s">
        <v>7</v>
      </c>
      <c r="F218" s="68"/>
      <c r="G218" s="63">
        <f>TRUNC(SUM(G212:G217),2)</f>
        <v>158.72</v>
      </c>
      <c r="H218" s="63"/>
      <c r="I218" s="64"/>
    </row>
    <row r="219" spans="1:10" s="99" customFormat="1" ht="57">
      <c r="A219" s="99" t="s">
        <v>175</v>
      </c>
      <c r="B219" s="99" t="s">
        <v>88</v>
      </c>
      <c r="C219" s="99" t="s">
        <v>413</v>
      </c>
      <c r="D219" s="99" t="s">
        <v>3</v>
      </c>
      <c r="E219" s="99">
        <v>25.4</v>
      </c>
      <c r="F219" s="100">
        <f>TRUNC(82.14315,2)</f>
        <v>82.14</v>
      </c>
      <c r="G219" s="101">
        <f>TRUNC(F219*1.2977,2)</f>
        <v>106.59</v>
      </c>
      <c r="H219" s="101">
        <f>TRUNC(F219*E219,2)</f>
        <v>2086.35</v>
      </c>
      <c r="I219" s="102">
        <f>TRUNC(E219*G219,2)</f>
        <v>2707.38</v>
      </c>
      <c r="J219" s="99">
        <v>25.4</v>
      </c>
    </row>
    <row r="220" spans="2:9" s="67" customFormat="1" ht="14.25">
      <c r="B220" s="67" t="s">
        <v>166</v>
      </c>
      <c r="C220" s="67" t="s">
        <v>414</v>
      </c>
      <c r="D220" s="67" t="s">
        <v>3</v>
      </c>
      <c r="E220" s="67">
        <v>1.265</v>
      </c>
      <c r="F220" s="68">
        <f>TRUNC(51.7,2)</f>
        <v>51.7</v>
      </c>
      <c r="G220" s="63">
        <f>TRUNC(E220*F220,2)</f>
        <v>65.4</v>
      </c>
      <c r="H220" s="63"/>
      <c r="I220" s="64"/>
    </row>
    <row r="221" spans="2:9" s="67" customFormat="1" ht="28.5">
      <c r="B221" s="67" t="s">
        <v>72</v>
      </c>
      <c r="C221" s="67" t="s">
        <v>73</v>
      </c>
      <c r="D221" s="67" t="s">
        <v>6</v>
      </c>
      <c r="E221" s="67">
        <v>0.515</v>
      </c>
      <c r="F221" s="68">
        <f>TRUNC(13.08,2)</f>
        <v>13.08</v>
      </c>
      <c r="G221" s="63">
        <f>TRUNC(E221*F221,2)</f>
        <v>6.73</v>
      </c>
      <c r="H221" s="63"/>
      <c r="I221" s="64"/>
    </row>
    <row r="222" spans="2:9" s="67" customFormat="1" ht="28.5">
      <c r="B222" s="67" t="s">
        <v>669</v>
      </c>
      <c r="C222" s="67" t="s">
        <v>670</v>
      </c>
      <c r="D222" s="67" t="s">
        <v>6</v>
      </c>
      <c r="E222" s="67">
        <v>0.515</v>
      </c>
      <c r="F222" s="68">
        <f>TRUNC(19.43,2)</f>
        <v>19.43</v>
      </c>
      <c r="G222" s="63">
        <f>TRUNC(E222*F222,2)</f>
        <v>10</v>
      </c>
      <c r="H222" s="63"/>
      <c r="I222" s="64"/>
    </row>
    <row r="223" spans="5:9" s="67" customFormat="1" ht="14.25">
      <c r="E223" s="67" t="s">
        <v>7</v>
      </c>
      <c r="F223" s="68"/>
      <c r="G223" s="63">
        <f>TRUNC(SUM(G220:G222),2)</f>
        <v>82.13</v>
      </c>
      <c r="H223" s="63"/>
      <c r="I223" s="64"/>
    </row>
    <row r="224" spans="1:9" s="44" customFormat="1" ht="15.75">
      <c r="A224" s="53" t="s">
        <v>53</v>
      </c>
      <c r="B224" s="55"/>
      <c r="C224" s="54"/>
      <c r="D224" s="55"/>
      <c r="E224" s="55"/>
      <c r="F224" s="55"/>
      <c r="G224" s="55" t="s">
        <v>56</v>
      </c>
      <c r="H224" s="58">
        <f>H211+H219</f>
        <v>20981.96</v>
      </c>
      <c r="I224" s="58">
        <f>I211+I219</f>
        <v>27228.100000000002</v>
      </c>
    </row>
    <row r="225" spans="1:9" s="43" customFormat="1" ht="15.75">
      <c r="A225" s="43" t="s">
        <v>22</v>
      </c>
      <c r="B225" s="51"/>
      <c r="C225" s="52" t="s">
        <v>68</v>
      </c>
      <c r="D225" s="52"/>
      <c r="E225" s="52"/>
      <c r="F225" s="52"/>
      <c r="G225" s="52"/>
      <c r="H225" s="52"/>
      <c r="I225" s="50"/>
    </row>
    <row r="226" spans="1:10" s="99" customFormat="1" ht="57.75" customHeight="1">
      <c r="A226" s="99" t="s">
        <v>13</v>
      </c>
      <c r="B226" s="99" t="s">
        <v>89</v>
      </c>
      <c r="C226" s="99" t="s">
        <v>167</v>
      </c>
      <c r="D226" s="101" t="s">
        <v>0</v>
      </c>
      <c r="E226" s="106">
        <v>119.05</v>
      </c>
      <c r="F226" s="101">
        <f>TRUNC(G232,2)</f>
        <v>15.82</v>
      </c>
      <c r="G226" s="101">
        <f>TRUNC(F226*1.2977,2)</f>
        <v>20.52</v>
      </c>
      <c r="H226" s="101">
        <f>TRUNC(F226*E226,2)</f>
        <v>1883.37</v>
      </c>
      <c r="I226" s="102">
        <f>TRUNC(E226*G226,2)</f>
        <v>2442.9</v>
      </c>
      <c r="J226" s="99">
        <v>119.05</v>
      </c>
    </row>
    <row r="227" spans="2:9" s="67" customFormat="1" ht="14.25">
      <c r="B227" s="67" t="s">
        <v>59</v>
      </c>
      <c r="C227" s="67" t="s">
        <v>90</v>
      </c>
      <c r="D227" s="63" t="s">
        <v>49</v>
      </c>
      <c r="E227" s="84">
        <v>0.035</v>
      </c>
      <c r="F227" s="63">
        <f>TRUNC(178.5,2)</f>
        <v>178.5</v>
      </c>
      <c r="G227" s="63">
        <f>TRUNC(E227*F227,2)</f>
        <v>6.24</v>
      </c>
      <c r="H227" s="63"/>
      <c r="I227" s="64"/>
    </row>
    <row r="228" spans="2:9" s="67" customFormat="1" ht="14.25">
      <c r="B228" s="67" t="s">
        <v>60</v>
      </c>
      <c r="C228" s="67" t="s">
        <v>91</v>
      </c>
      <c r="D228" s="63" t="s">
        <v>5</v>
      </c>
      <c r="E228" s="84">
        <v>0.025</v>
      </c>
      <c r="F228" s="63">
        <f>TRUNC(16.42,2)</f>
        <v>16.42</v>
      </c>
      <c r="G228" s="63">
        <f>TRUNC(E228*F228,2)</f>
        <v>0.41</v>
      </c>
      <c r="H228" s="63"/>
      <c r="I228" s="64"/>
    </row>
    <row r="229" spans="2:9" s="67" customFormat="1" ht="14.25">
      <c r="B229" s="67" t="s">
        <v>50</v>
      </c>
      <c r="C229" s="67" t="s">
        <v>92</v>
      </c>
      <c r="D229" s="63" t="s">
        <v>49</v>
      </c>
      <c r="E229" s="84">
        <v>0.05</v>
      </c>
      <c r="F229" s="63">
        <f>TRUNC(57.05,2)</f>
        <v>57.05</v>
      </c>
      <c r="G229" s="63">
        <f>TRUNC(E229*F229,2)</f>
        <v>2.85</v>
      </c>
      <c r="H229" s="63"/>
      <c r="I229" s="64"/>
    </row>
    <row r="230" spans="2:9" s="67" customFormat="1" ht="28.5">
      <c r="B230" s="67" t="s">
        <v>72</v>
      </c>
      <c r="C230" s="67" t="s">
        <v>73</v>
      </c>
      <c r="D230" s="63" t="s">
        <v>6</v>
      </c>
      <c r="E230" s="84">
        <v>0.12875</v>
      </c>
      <c r="F230" s="63">
        <f>TRUNC(13.08,2)</f>
        <v>13.08</v>
      </c>
      <c r="G230" s="63">
        <f>TRUNC(E230*F230,2)</f>
        <v>1.68</v>
      </c>
      <c r="H230" s="63"/>
      <c r="I230" s="64"/>
    </row>
    <row r="231" spans="2:9" s="67" customFormat="1" ht="14.25">
      <c r="B231" s="67" t="s">
        <v>671</v>
      </c>
      <c r="C231" s="67" t="s">
        <v>672</v>
      </c>
      <c r="D231" s="63" t="s">
        <v>6</v>
      </c>
      <c r="E231" s="84">
        <v>0.2575</v>
      </c>
      <c r="F231" s="63">
        <f>TRUNC(18.05,2)</f>
        <v>18.05</v>
      </c>
      <c r="G231" s="63">
        <f>TRUNC(E231*F231,2)</f>
        <v>4.64</v>
      </c>
      <c r="H231" s="63"/>
      <c r="I231" s="64"/>
    </row>
    <row r="232" spans="4:9" s="67" customFormat="1" ht="14.25">
      <c r="D232" s="63"/>
      <c r="E232" s="84" t="s">
        <v>7</v>
      </c>
      <c r="F232" s="63"/>
      <c r="G232" s="63">
        <f>TRUNC(SUM(G227:G231),2)</f>
        <v>15.82</v>
      </c>
      <c r="H232" s="63"/>
      <c r="I232" s="64"/>
    </row>
    <row r="233" spans="1:9" s="99" customFormat="1" ht="42.75">
      <c r="A233" s="99" t="s">
        <v>14</v>
      </c>
      <c r="B233" s="99" t="s">
        <v>122</v>
      </c>
      <c r="C233" s="99" t="s">
        <v>168</v>
      </c>
      <c r="D233" s="99" t="s">
        <v>0</v>
      </c>
      <c r="E233" s="101">
        <v>212.01</v>
      </c>
      <c r="F233" s="100">
        <f>TRUNC(G238,2)</f>
        <v>10.31</v>
      </c>
      <c r="G233" s="101">
        <f>TRUNC(F233*1.2977,2)</f>
        <v>13.37</v>
      </c>
      <c r="H233" s="101">
        <f>TRUNC(F233*E233,2)</f>
        <v>2185.82</v>
      </c>
      <c r="I233" s="102">
        <f>TRUNC(E233*G233,2)</f>
        <v>2834.57</v>
      </c>
    </row>
    <row r="234" spans="2:9" s="67" customFormat="1" ht="14.25">
      <c r="B234" s="67" t="s">
        <v>169</v>
      </c>
      <c r="C234" s="67" t="s">
        <v>119</v>
      </c>
      <c r="D234" s="67" t="s">
        <v>49</v>
      </c>
      <c r="E234" s="63">
        <v>0.0775</v>
      </c>
      <c r="F234" s="68">
        <f>TRUNC(30.53,2)</f>
        <v>30.53</v>
      </c>
      <c r="G234" s="63">
        <f>TRUNC(E234*F234,2)</f>
        <v>2.36</v>
      </c>
      <c r="H234" s="63"/>
      <c r="I234" s="64"/>
    </row>
    <row r="235" spans="2:9" s="67" customFormat="1" ht="14.25">
      <c r="B235" s="67" t="s">
        <v>170</v>
      </c>
      <c r="C235" s="67" t="s">
        <v>123</v>
      </c>
      <c r="D235" s="67" t="s">
        <v>12</v>
      </c>
      <c r="E235" s="63">
        <v>0.5</v>
      </c>
      <c r="F235" s="68">
        <f>TRUNC(0.72,2)</f>
        <v>0.72</v>
      </c>
      <c r="G235" s="63">
        <f>TRUNC(E235*F235,2)</f>
        <v>0.36</v>
      </c>
      <c r="H235" s="63"/>
      <c r="I235" s="64"/>
    </row>
    <row r="236" spans="2:9" s="67" customFormat="1" ht="28.5">
      <c r="B236" s="67" t="s">
        <v>72</v>
      </c>
      <c r="C236" s="67" t="s">
        <v>73</v>
      </c>
      <c r="D236" s="67" t="s">
        <v>6</v>
      </c>
      <c r="E236" s="63">
        <v>0.1545</v>
      </c>
      <c r="F236" s="68">
        <f>TRUNC(13.08,2)</f>
        <v>13.08</v>
      </c>
      <c r="G236" s="63">
        <f>TRUNC(E236*F236,2)</f>
        <v>2.02</v>
      </c>
      <c r="H236" s="63"/>
      <c r="I236" s="64"/>
    </row>
    <row r="237" spans="2:9" s="67" customFormat="1" ht="14.25">
      <c r="B237" s="67" t="s">
        <v>671</v>
      </c>
      <c r="C237" s="67" t="s">
        <v>672</v>
      </c>
      <c r="D237" s="67" t="s">
        <v>6</v>
      </c>
      <c r="E237" s="63">
        <v>0.309</v>
      </c>
      <c r="F237" s="68">
        <f>TRUNC(18.05,2)</f>
        <v>18.05</v>
      </c>
      <c r="G237" s="63">
        <f>TRUNC(E237*F237,2)</f>
        <v>5.57</v>
      </c>
      <c r="H237" s="63"/>
      <c r="I237" s="64"/>
    </row>
    <row r="238" spans="5:9" s="67" customFormat="1" ht="14.25">
      <c r="E238" s="63" t="s">
        <v>7</v>
      </c>
      <c r="F238" s="68"/>
      <c r="G238" s="63">
        <f>TRUNC(SUM(G234:G237),2)</f>
        <v>10.31</v>
      </c>
      <c r="H238" s="63"/>
      <c r="I238" s="64"/>
    </row>
    <row r="239" spans="1:9" s="99" customFormat="1" ht="57">
      <c r="A239" s="99" t="s">
        <v>15</v>
      </c>
      <c r="B239" s="99" t="s">
        <v>118</v>
      </c>
      <c r="C239" s="99" t="s">
        <v>171</v>
      </c>
      <c r="D239" s="99" t="s">
        <v>0</v>
      </c>
      <c r="E239" s="99">
        <v>4.78</v>
      </c>
      <c r="F239" s="100">
        <f>TRUNC(G247,2)</f>
        <v>48.95</v>
      </c>
      <c r="G239" s="101">
        <f>TRUNC(F239*1.2977,2)</f>
        <v>63.52</v>
      </c>
      <c r="H239" s="101">
        <f>TRUNC(F239*E239,2)</f>
        <v>233.98</v>
      </c>
      <c r="I239" s="102">
        <f>TRUNC(E239*G239,2)</f>
        <v>303.62</v>
      </c>
    </row>
    <row r="240" spans="2:9" s="67" customFormat="1" ht="14.25">
      <c r="B240" s="67" t="s">
        <v>172</v>
      </c>
      <c r="C240" s="67" t="s">
        <v>120</v>
      </c>
      <c r="D240" s="67" t="s">
        <v>12</v>
      </c>
      <c r="E240" s="67">
        <v>0.24</v>
      </c>
      <c r="F240" s="68">
        <f>TRUNC(5.9,2)</f>
        <v>5.9</v>
      </c>
      <c r="G240" s="63">
        <f aca="true" t="shared" si="10" ref="G240:G246">TRUNC(E240*F240,2)</f>
        <v>1.41</v>
      </c>
      <c r="H240" s="63"/>
      <c r="I240" s="64"/>
    </row>
    <row r="241" spans="2:9" s="67" customFormat="1" ht="14.25">
      <c r="B241" s="67" t="s">
        <v>169</v>
      </c>
      <c r="C241" s="67" t="s">
        <v>119</v>
      </c>
      <c r="D241" s="67" t="s">
        <v>49</v>
      </c>
      <c r="E241" s="67">
        <v>0.0775</v>
      </c>
      <c r="F241" s="68">
        <f>TRUNC(30.53,2)</f>
        <v>30.53</v>
      </c>
      <c r="G241" s="63">
        <f t="shared" si="10"/>
        <v>2.36</v>
      </c>
      <c r="H241" s="63"/>
      <c r="I241" s="64"/>
    </row>
    <row r="242" spans="2:9" s="67" customFormat="1" ht="28.5">
      <c r="B242" s="67" t="s">
        <v>673</v>
      </c>
      <c r="C242" s="67" t="s">
        <v>674</v>
      </c>
      <c r="D242" s="67" t="s">
        <v>6</v>
      </c>
      <c r="E242" s="67">
        <v>0.20600000000000002</v>
      </c>
      <c r="F242" s="68">
        <f>TRUNC(24.98,2)</f>
        <v>24.98</v>
      </c>
      <c r="G242" s="63">
        <f t="shared" si="10"/>
        <v>5.14</v>
      </c>
      <c r="H242" s="63"/>
      <c r="I242" s="64"/>
    </row>
    <row r="243" spans="2:9" s="67" customFormat="1" ht="14.25">
      <c r="B243" s="67" t="s">
        <v>671</v>
      </c>
      <c r="C243" s="67" t="s">
        <v>672</v>
      </c>
      <c r="D243" s="67" t="s">
        <v>6</v>
      </c>
      <c r="E243" s="67">
        <v>2.06</v>
      </c>
      <c r="F243" s="68">
        <f>TRUNC(18.05,2)</f>
        <v>18.05</v>
      </c>
      <c r="G243" s="63">
        <f t="shared" si="10"/>
        <v>37.18</v>
      </c>
      <c r="H243" s="63"/>
      <c r="I243" s="64"/>
    </row>
    <row r="244" spans="2:9" s="67" customFormat="1" ht="14.25">
      <c r="B244" s="67" t="s">
        <v>173</v>
      </c>
      <c r="C244" s="67" t="s">
        <v>121</v>
      </c>
      <c r="D244" s="67" t="s">
        <v>6</v>
      </c>
      <c r="E244" s="67">
        <v>0.20600000000000002</v>
      </c>
      <c r="F244" s="68">
        <f>TRUNC(13.76,2)</f>
        <v>13.76</v>
      </c>
      <c r="G244" s="63">
        <f t="shared" si="10"/>
        <v>2.83</v>
      </c>
      <c r="H244" s="63"/>
      <c r="I244" s="64"/>
    </row>
    <row r="245" spans="2:9" s="67" customFormat="1" ht="14.25">
      <c r="B245" s="67" t="s">
        <v>675</v>
      </c>
      <c r="C245" s="67" t="s">
        <v>676</v>
      </c>
      <c r="D245" s="67" t="s">
        <v>6</v>
      </c>
      <c r="E245" s="67">
        <v>0.03</v>
      </c>
      <c r="F245" s="68">
        <f>TRUNC(0.3187,2)</f>
        <v>0.31</v>
      </c>
      <c r="G245" s="63">
        <f t="shared" si="10"/>
        <v>0</v>
      </c>
      <c r="H245" s="63"/>
      <c r="I245" s="64"/>
    </row>
    <row r="246" spans="2:9" s="67" customFormat="1" ht="14.25">
      <c r="B246" s="67" t="s">
        <v>677</v>
      </c>
      <c r="C246" s="67" t="s">
        <v>678</v>
      </c>
      <c r="D246" s="67" t="s">
        <v>6</v>
      </c>
      <c r="E246" s="67">
        <v>0.07</v>
      </c>
      <c r="F246" s="68">
        <f>TRUNC(0.4687,2)</f>
        <v>0.46</v>
      </c>
      <c r="G246" s="63">
        <f t="shared" si="10"/>
        <v>0.03</v>
      </c>
      <c r="H246" s="63"/>
      <c r="I246" s="64"/>
    </row>
    <row r="247" spans="5:9" s="67" customFormat="1" ht="14.25">
      <c r="E247" s="67" t="s">
        <v>7</v>
      </c>
      <c r="F247" s="68"/>
      <c r="G247" s="63">
        <f>TRUNC(SUM(G240:G246),2)</f>
        <v>48.95</v>
      </c>
      <c r="H247" s="63"/>
      <c r="I247" s="64"/>
    </row>
    <row r="248" spans="1:9" s="99" customFormat="1" ht="42.75">
      <c r="A248" s="99" t="s">
        <v>378</v>
      </c>
      <c r="B248" s="99" t="s">
        <v>328</v>
      </c>
      <c r="C248" s="99" t="s">
        <v>329</v>
      </c>
      <c r="D248" s="99" t="s">
        <v>12</v>
      </c>
      <c r="E248" s="99">
        <v>2</v>
      </c>
      <c r="F248" s="100">
        <f>TRUNC(G252,2)</f>
        <v>30.41</v>
      </c>
      <c r="G248" s="101">
        <f>TRUNC(F248*1.2977,2)</f>
        <v>39.46</v>
      </c>
      <c r="H248" s="101">
        <f>TRUNC(F248*E248,2)</f>
        <v>60.82</v>
      </c>
      <c r="I248" s="102">
        <f>TRUNC(E248*G248,2)</f>
        <v>78.92</v>
      </c>
    </row>
    <row r="249" spans="2:9" s="67" customFormat="1" ht="14.25">
      <c r="B249" s="67" t="s">
        <v>330</v>
      </c>
      <c r="C249" s="67" t="s">
        <v>331</v>
      </c>
      <c r="D249" s="67" t="s">
        <v>49</v>
      </c>
      <c r="E249" s="67">
        <v>0.1</v>
      </c>
      <c r="F249" s="68">
        <f>TRUNC(85,2)</f>
        <v>85</v>
      </c>
      <c r="G249" s="63">
        <f>TRUNC(E249*F249,2)</f>
        <v>8.5</v>
      </c>
      <c r="H249" s="63"/>
      <c r="I249" s="64"/>
    </row>
    <row r="250" spans="2:9" s="67" customFormat="1" ht="14.25">
      <c r="B250" s="67" t="s">
        <v>332</v>
      </c>
      <c r="C250" s="67" t="s">
        <v>333</v>
      </c>
      <c r="D250" s="67" t="s">
        <v>12</v>
      </c>
      <c r="E250" s="67">
        <v>0.1</v>
      </c>
      <c r="F250" s="68">
        <f>TRUNC(53.82,2)</f>
        <v>53.82</v>
      </c>
      <c r="G250" s="63">
        <f>TRUNC(E250*F250,2)</f>
        <v>5.38</v>
      </c>
      <c r="H250" s="63"/>
      <c r="I250" s="64"/>
    </row>
    <row r="251" spans="2:9" s="67" customFormat="1" ht="28.5">
      <c r="B251" s="67" t="s">
        <v>679</v>
      </c>
      <c r="C251" s="67" t="s">
        <v>680</v>
      </c>
      <c r="D251" s="67" t="s">
        <v>6</v>
      </c>
      <c r="E251" s="67">
        <v>1.545</v>
      </c>
      <c r="F251" s="68">
        <f>TRUNC(10.7,2)</f>
        <v>10.7</v>
      </c>
      <c r="G251" s="63">
        <f>TRUNC(E251*F251,2)</f>
        <v>16.53</v>
      </c>
      <c r="H251" s="63"/>
      <c r="I251" s="64"/>
    </row>
    <row r="252" spans="5:9" s="67" customFormat="1" ht="14.25">
      <c r="E252" s="67" t="s">
        <v>7</v>
      </c>
      <c r="F252" s="68"/>
      <c r="G252" s="63">
        <f>TRUNC(SUM(G249:G251),2)</f>
        <v>30.41</v>
      </c>
      <c r="H252" s="63"/>
      <c r="I252" s="64"/>
    </row>
    <row r="253" spans="1:9" s="99" customFormat="1" ht="71.25">
      <c r="A253" s="99" t="s">
        <v>379</v>
      </c>
      <c r="B253" s="99" t="s">
        <v>367</v>
      </c>
      <c r="C253" s="99" t="s">
        <v>368</v>
      </c>
      <c r="D253" s="99" t="s">
        <v>0</v>
      </c>
      <c r="E253" s="99">
        <v>3.6</v>
      </c>
      <c r="F253" s="100">
        <f>TRUNC(G259,2)</f>
        <v>13.86</v>
      </c>
      <c r="G253" s="101">
        <f>TRUNC(F253*1.2977,2)</f>
        <v>17.98</v>
      </c>
      <c r="H253" s="101">
        <f>TRUNC(F253*E253,2)</f>
        <v>49.89</v>
      </c>
      <c r="I253" s="102">
        <f>TRUNC(E253*G253,2)</f>
        <v>64.72</v>
      </c>
    </row>
    <row r="254" spans="2:9" s="67" customFormat="1" ht="14.25">
      <c r="B254" s="67" t="s">
        <v>363</v>
      </c>
      <c r="C254" s="67" t="s">
        <v>364</v>
      </c>
      <c r="D254" s="67" t="s">
        <v>12</v>
      </c>
      <c r="E254" s="67">
        <v>0.5</v>
      </c>
      <c r="F254" s="68">
        <f>TRUNC(0.69,2)</f>
        <v>0.69</v>
      </c>
      <c r="G254" s="63">
        <f>TRUNC(E254*F254,2)</f>
        <v>0.34</v>
      </c>
      <c r="H254" s="63"/>
      <c r="I254" s="64"/>
    </row>
    <row r="255" spans="2:9" s="67" customFormat="1" ht="14.25">
      <c r="B255" s="67" t="s">
        <v>365</v>
      </c>
      <c r="C255" s="67" t="s">
        <v>366</v>
      </c>
      <c r="D255" s="67" t="s">
        <v>49</v>
      </c>
      <c r="E255" s="67">
        <v>0.04</v>
      </c>
      <c r="F255" s="68">
        <f>TRUNC(14.51,2)</f>
        <v>14.51</v>
      </c>
      <c r="G255" s="63">
        <f>TRUNC(E255*F255,2)</f>
        <v>0.58</v>
      </c>
      <c r="H255" s="63"/>
      <c r="I255" s="64"/>
    </row>
    <row r="256" spans="2:9" s="67" customFormat="1" ht="28.5">
      <c r="B256" s="67" t="s">
        <v>369</v>
      </c>
      <c r="C256" s="67" t="s">
        <v>370</v>
      </c>
      <c r="D256" s="67" t="s">
        <v>12</v>
      </c>
      <c r="E256" s="67">
        <v>0.012</v>
      </c>
      <c r="F256" s="68">
        <f>TRUNC(341.42,2)</f>
        <v>341.42</v>
      </c>
      <c r="G256" s="63">
        <f>TRUNC(E256*F256,2)</f>
        <v>4.09</v>
      </c>
      <c r="H256" s="63"/>
      <c r="I256" s="64"/>
    </row>
    <row r="257" spans="2:9" s="67" customFormat="1" ht="28.5">
      <c r="B257" s="67" t="s">
        <v>72</v>
      </c>
      <c r="C257" s="67" t="s">
        <v>73</v>
      </c>
      <c r="D257" s="67" t="s">
        <v>6</v>
      </c>
      <c r="E257" s="67">
        <v>0.18025</v>
      </c>
      <c r="F257" s="68">
        <f>TRUNC(13.08,2)</f>
        <v>13.08</v>
      </c>
      <c r="G257" s="63">
        <f>TRUNC(E257*F257,2)</f>
        <v>2.35</v>
      </c>
      <c r="H257" s="63"/>
      <c r="I257" s="64"/>
    </row>
    <row r="258" spans="2:9" s="67" customFormat="1" ht="14.25">
      <c r="B258" s="67" t="s">
        <v>671</v>
      </c>
      <c r="C258" s="67" t="s">
        <v>672</v>
      </c>
      <c r="D258" s="67" t="s">
        <v>6</v>
      </c>
      <c r="E258" s="67">
        <v>0.3605</v>
      </c>
      <c r="F258" s="68">
        <f>TRUNC(18.05,2)</f>
        <v>18.05</v>
      </c>
      <c r="G258" s="63">
        <f>TRUNC(E258*F258,2)</f>
        <v>6.5</v>
      </c>
      <c r="H258" s="63"/>
      <c r="I258" s="64"/>
    </row>
    <row r="259" spans="5:9" s="67" customFormat="1" ht="14.25">
      <c r="E259" s="67" t="s">
        <v>7</v>
      </c>
      <c r="F259" s="68"/>
      <c r="G259" s="63">
        <f>TRUNC(SUM(G254:G258),2)</f>
        <v>13.86</v>
      </c>
      <c r="H259" s="63"/>
      <c r="I259" s="64"/>
    </row>
    <row r="260" spans="1:14" s="99" customFormat="1" ht="72">
      <c r="A260" s="99" t="s">
        <v>637</v>
      </c>
      <c r="B260" s="99" t="s">
        <v>367</v>
      </c>
      <c r="C260" s="99" t="s">
        <v>928</v>
      </c>
      <c r="D260" s="99" t="s">
        <v>0</v>
      </c>
      <c r="E260" s="99">
        <v>91.54</v>
      </c>
      <c r="F260" s="100">
        <f>TRUNC(G266,2)</f>
        <v>13.86</v>
      </c>
      <c r="G260" s="101">
        <f>TRUNC(F260*1.2977,2)</f>
        <v>17.98</v>
      </c>
      <c r="H260" s="101">
        <f>TRUNC(F260*E260,2)</f>
        <v>1268.74</v>
      </c>
      <c r="I260" s="102">
        <f>TRUNC(E260*G260,2)</f>
        <v>1645.88</v>
      </c>
      <c r="K260" s="99">
        <v>21</v>
      </c>
      <c r="L260" s="99">
        <f>E260/21</f>
        <v>4.35904761904762</v>
      </c>
      <c r="M260" s="99">
        <f>L260*3</f>
        <v>13.07714285714286</v>
      </c>
      <c r="N260" s="99">
        <f>M260+E260</f>
        <v>104.61714285714287</v>
      </c>
    </row>
    <row r="261" spans="2:9" s="67" customFormat="1" ht="14.25">
      <c r="B261" s="67" t="s">
        <v>363</v>
      </c>
      <c r="C261" s="67" t="s">
        <v>364</v>
      </c>
      <c r="D261" s="67" t="s">
        <v>12</v>
      </c>
      <c r="E261" s="67">
        <v>0.5</v>
      </c>
      <c r="F261" s="68">
        <f>TRUNC(0.69,2)</f>
        <v>0.69</v>
      </c>
      <c r="G261" s="63">
        <f>TRUNC(E261*F261,2)</f>
        <v>0.34</v>
      </c>
      <c r="H261" s="63"/>
      <c r="I261" s="64"/>
    </row>
    <row r="262" spans="2:9" s="67" customFormat="1" ht="14.25">
      <c r="B262" s="67" t="s">
        <v>365</v>
      </c>
      <c r="C262" s="67" t="s">
        <v>366</v>
      </c>
      <c r="D262" s="67" t="s">
        <v>49</v>
      </c>
      <c r="E262" s="67">
        <v>0.04</v>
      </c>
      <c r="F262" s="68">
        <f>TRUNC(14.51,2)</f>
        <v>14.51</v>
      </c>
      <c r="G262" s="63">
        <f>TRUNC(E262*F262,2)</f>
        <v>0.58</v>
      </c>
      <c r="H262" s="63"/>
      <c r="I262" s="64"/>
    </row>
    <row r="263" spans="2:9" s="67" customFormat="1" ht="28.5">
      <c r="B263" s="67" t="s">
        <v>369</v>
      </c>
      <c r="C263" s="67" t="s">
        <v>370</v>
      </c>
      <c r="D263" s="67" t="s">
        <v>12</v>
      </c>
      <c r="E263" s="67">
        <v>0.012</v>
      </c>
      <c r="F263" s="68">
        <f>TRUNC(341.42,2)</f>
        <v>341.42</v>
      </c>
      <c r="G263" s="63">
        <f>TRUNC(E263*F263,2)</f>
        <v>4.09</v>
      </c>
      <c r="H263" s="63"/>
      <c r="I263" s="64"/>
    </row>
    <row r="264" spans="2:9" s="67" customFormat="1" ht="28.5">
      <c r="B264" s="67" t="s">
        <v>72</v>
      </c>
      <c r="C264" s="67" t="s">
        <v>73</v>
      </c>
      <c r="D264" s="67" t="s">
        <v>6</v>
      </c>
      <c r="E264" s="67">
        <v>0.18025</v>
      </c>
      <c r="F264" s="68">
        <f>TRUNC(13.08,2)</f>
        <v>13.08</v>
      </c>
      <c r="G264" s="63">
        <f>TRUNC(E264*F264,2)</f>
        <v>2.35</v>
      </c>
      <c r="H264" s="63"/>
      <c r="I264" s="64"/>
    </row>
    <row r="265" spans="2:9" s="67" customFormat="1" ht="14.25">
      <c r="B265" s="67" t="s">
        <v>671</v>
      </c>
      <c r="C265" s="67" t="s">
        <v>672</v>
      </c>
      <c r="D265" s="67" t="s">
        <v>6</v>
      </c>
      <c r="E265" s="67">
        <v>0.3605</v>
      </c>
      <c r="F265" s="68">
        <f>TRUNC(18.05,2)</f>
        <v>18.05</v>
      </c>
      <c r="G265" s="63">
        <f>TRUNC(E265*F265,2)</f>
        <v>6.5</v>
      </c>
      <c r="H265" s="63"/>
      <c r="I265" s="64"/>
    </row>
    <row r="266" spans="5:9" s="67" customFormat="1" ht="14.25">
      <c r="E266" s="67" t="s">
        <v>7</v>
      </c>
      <c r="F266" s="68"/>
      <c r="G266" s="63">
        <f>TRUNC(SUM(G261:G265),2)</f>
        <v>13.86</v>
      </c>
      <c r="H266" s="63"/>
      <c r="I266" s="64"/>
    </row>
    <row r="267" spans="1:9" s="44" customFormat="1" ht="15.75">
      <c r="A267" s="85" t="s">
        <v>53</v>
      </c>
      <c r="B267" s="86"/>
      <c r="C267" s="87"/>
      <c r="D267" s="86"/>
      <c r="E267" s="86"/>
      <c r="F267" s="86" t="s">
        <v>58</v>
      </c>
      <c r="G267" s="86"/>
      <c r="H267" s="88">
        <f>H239+H233+H226+H248+H253+H260</f>
        <v>5682.62</v>
      </c>
      <c r="I267" s="88">
        <f>I239+I233+I226+I248+I253+I260</f>
        <v>7370.610000000001</v>
      </c>
    </row>
    <row r="268" spans="1:9" s="43" customFormat="1" ht="15.75">
      <c r="A268" s="43" t="s">
        <v>23</v>
      </c>
      <c r="B268" s="51"/>
      <c r="C268" s="52" t="s">
        <v>308</v>
      </c>
      <c r="D268" s="52"/>
      <c r="E268" s="52"/>
      <c r="F268" s="52"/>
      <c r="G268" s="52"/>
      <c r="H268" s="52"/>
      <c r="I268" s="50"/>
    </row>
    <row r="269" spans="1:9" s="99" customFormat="1" ht="28.5">
      <c r="A269" s="99" t="s">
        <v>176</v>
      </c>
      <c r="B269" s="99" t="s">
        <v>243</v>
      </c>
      <c r="C269" s="99" t="s">
        <v>244</v>
      </c>
      <c r="D269" s="99" t="s">
        <v>12</v>
      </c>
      <c r="E269" s="99">
        <v>2</v>
      </c>
      <c r="F269" s="100">
        <f>TRUNC(598.72,2)</f>
        <v>598.72</v>
      </c>
      <c r="G269" s="101">
        <f>TRUNC(F269*1.2977,2)</f>
        <v>776.95</v>
      </c>
      <c r="H269" s="101">
        <f>TRUNC(F269*E269,2)</f>
        <v>1197.44</v>
      </c>
      <c r="I269" s="102">
        <f>TRUNC(E269*G269,2)</f>
        <v>1553.9</v>
      </c>
    </row>
    <row r="270" spans="2:9" s="67" customFormat="1" ht="14.25">
      <c r="B270" s="67" t="s">
        <v>245</v>
      </c>
      <c r="C270" s="67" t="s">
        <v>246</v>
      </c>
      <c r="D270" s="67" t="s">
        <v>12</v>
      </c>
      <c r="E270" s="67">
        <v>1</v>
      </c>
      <c r="F270" s="68">
        <f>TRUNC(598.72,2)</f>
        <v>598.72</v>
      </c>
      <c r="G270" s="63">
        <f>TRUNC(E270*F270,2)</f>
        <v>598.72</v>
      </c>
      <c r="H270" s="63"/>
      <c r="I270" s="64"/>
    </row>
    <row r="271" spans="5:9" s="67" customFormat="1" ht="14.25">
      <c r="E271" s="67" t="s">
        <v>7</v>
      </c>
      <c r="F271" s="68"/>
      <c r="G271" s="63">
        <f>TRUNC(SUM(G270:G270),2)</f>
        <v>598.72</v>
      </c>
      <c r="H271" s="63"/>
      <c r="I271" s="64"/>
    </row>
    <row r="272" spans="1:9" s="99" customFormat="1" ht="57">
      <c r="A272" s="99" t="s">
        <v>177</v>
      </c>
      <c r="B272" s="99" t="s">
        <v>247</v>
      </c>
      <c r="C272" s="99" t="s">
        <v>248</v>
      </c>
      <c r="D272" s="99" t="s">
        <v>12</v>
      </c>
      <c r="E272" s="99">
        <v>2</v>
      </c>
      <c r="F272" s="100">
        <f>TRUNC(110.21,2)</f>
        <v>110.21</v>
      </c>
      <c r="G272" s="101">
        <f>TRUNC(F272*1.2977,2)</f>
        <v>143.01</v>
      </c>
      <c r="H272" s="101">
        <f>TRUNC(F272*E272,2)</f>
        <v>220.42</v>
      </c>
      <c r="I272" s="102">
        <f>TRUNC(E272*G272,2)</f>
        <v>286.02</v>
      </c>
    </row>
    <row r="273" spans="2:9" s="67" customFormat="1" ht="28.5">
      <c r="B273" s="67" t="s">
        <v>679</v>
      </c>
      <c r="C273" s="67" t="s">
        <v>680</v>
      </c>
      <c r="D273" s="67" t="s">
        <v>6</v>
      </c>
      <c r="E273" s="67">
        <v>10.3</v>
      </c>
      <c r="F273" s="68">
        <f>TRUNC(10.7,2)</f>
        <v>10.7</v>
      </c>
      <c r="G273" s="63">
        <f>TRUNC(E273*F273,2)</f>
        <v>110.21</v>
      </c>
      <c r="H273" s="63"/>
      <c r="I273" s="64"/>
    </row>
    <row r="274" spans="5:9" s="67" customFormat="1" ht="14.25">
      <c r="E274" s="67" t="s">
        <v>7</v>
      </c>
      <c r="F274" s="68"/>
      <c r="G274" s="63">
        <f>TRUNC(SUM(G273:G273),2)</f>
        <v>110.21</v>
      </c>
      <c r="H274" s="63"/>
      <c r="I274" s="64"/>
    </row>
    <row r="275" spans="1:9" s="99" customFormat="1" ht="28.5">
      <c r="A275" s="99" t="s">
        <v>493</v>
      </c>
      <c r="B275" s="99" t="s">
        <v>249</v>
      </c>
      <c r="C275" s="99" t="s">
        <v>250</v>
      </c>
      <c r="D275" s="99" t="s">
        <v>12</v>
      </c>
      <c r="E275" s="99">
        <v>6</v>
      </c>
      <c r="F275" s="100">
        <f>TRUNC(G278,2)</f>
        <v>45.24</v>
      </c>
      <c r="G275" s="101">
        <f>TRUNC(F275*1.2977,2)</f>
        <v>58.7</v>
      </c>
      <c r="H275" s="101">
        <f>TRUNC(F275*E275,2)</f>
        <v>271.44</v>
      </c>
      <c r="I275" s="102">
        <f>TRUNC(E275*G275,2)</f>
        <v>352.2</v>
      </c>
    </row>
    <row r="276" spans="2:9" s="67" customFormat="1" ht="14.25">
      <c r="B276" s="67" t="s">
        <v>251</v>
      </c>
      <c r="C276" s="67" t="s">
        <v>252</v>
      </c>
      <c r="D276" s="67" t="s">
        <v>12</v>
      </c>
      <c r="E276" s="67">
        <v>1</v>
      </c>
      <c r="F276" s="68">
        <f>TRUNC(41.53,2)</f>
        <v>41.53</v>
      </c>
      <c r="G276" s="63">
        <f>TRUNC(E276*F276,2)</f>
        <v>41.53</v>
      </c>
      <c r="H276" s="63"/>
      <c r="I276" s="64"/>
    </row>
    <row r="277" spans="2:9" s="67" customFormat="1" ht="28.5">
      <c r="B277" s="67" t="s">
        <v>81</v>
      </c>
      <c r="C277" s="67" t="s">
        <v>82</v>
      </c>
      <c r="D277" s="67" t="s">
        <v>6</v>
      </c>
      <c r="E277" s="67">
        <v>0.20600000000000002</v>
      </c>
      <c r="F277" s="68">
        <f>TRUNC(18.05,2)</f>
        <v>18.05</v>
      </c>
      <c r="G277" s="63">
        <f>TRUNC(E277*F277,2)</f>
        <v>3.71</v>
      </c>
      <c r="H277" s="63"/>
      <c r="I277" s="64"/>
    </row>
    <row r="278" spans="5:9" s="67" customFormat="1" ht="14.25">
      <c r="E278" s="67" t="s">
        <v>7</v>
      </c>
      <c r="F278" s="68"/>
      <c r="G278" s="63">
        <f>TRUNC(SUM(G276:G277),2)</f>
        <v>45.24</v>
      </c>
      <c r="H278" s="63"/>
      <c r="I278" s="64"/>
    </row>
    <row r="279" spans="1:9" s="99" customFormat="1" ht="71.25">
      <c r="A279" s="99" t="s">
        <v>312</v>
      </c>
      <c r="B279" s="99" t="s">
        <v>253</v>
      </c>
      <c r="C279" s="99" t="s">
        <v>254</v>
      </c>
      <c r="D279" s="99" t="s">
        <v>12</v>
      </c>
      <c r="E279" s="99">
        <v>6</v>
      </c>
      <c r="F279" s="100">
        <f>TRUNC(G283,2)</f>
        <v>201.87</v>
      </c>
      <c r="G279" s="101">
        <f>TRUNC(F279*1.2977,2)</f>
        <v>261.96</v>
      </c>
      <c r="H279" s="101">
        <f>TRUNC(F279*E279,2)</f>
        <v>1211.22</v>
      </c>
      <c r="I279" s="102">
        <f>TRUNC(E279*G279,2)</f>
        <v>1571.76</v>
      </c>
    </row>
    <row r="280" spans="2:9" s="67" customFormat="1" ht="28.5">
      <c r="B280" s="67" t="s">
        <v>255</v>
      </c>
      <c r="C280" s="67" t="s">
        <v>256</v>
      </c>
      <c r="D280" s="67" t="s">
        <v>12</v>
      </c>
      <c r="E280" s="67">
        <v>1</v>
      </c>
      <c r="F280" s="68">
        <f>TRUNC(137.7573,2)</f>
        <v>137.75</v>
      </c>
      <c r="G280" s="63">
        <f>TRUNC(E280*F280,2)</f>
        <v>137.75</v>
      </c>
      <c r="H280" s="63"/>
      <c r="I280" s="64"/>
    </row>
    <row r="281" spans="2:9" s="67" customFormat="1" ht="28.5">
      <c r="B281" s="67" t="s">
        <v>72</v>
      </c>
      <c r="C281" s="67" t="s">
        <v>73</v>
      </c>
      <c r="D281" s="67" t="s">
        <v>6</v>
      </c>
      <c r="E281" s="67">
        <v>2.06</v>
      </c>
      <c r="F281" s="68">
        <f>TRUNC(13.08,2)</f>
        <v>13.08</v>
      </c>
      <c r="G281" s="63">
        <f>TRUNC(E281*F281,2)</f>
        <v>26.94</v>
      </c>
      <c r="H281" s="63"/>
      <c r="I281" s="64"/>
    </row>
    <row r="282" spans="2:9" s="67" customFormat="1" ht="28.5">
      <c r="B282" s="67" t="s">
        <v>81</v>
      </c>
      <c r="C282" s="67" t="s">
        <v>82</v>
      </c>
      <c r="D282" s="67" t="s">
        <v>6</v>
      </c>
      <c r="E282" s="67">
        <v>2.06</v>
      </c>
      <c r="F282" s="68">
        <f>TRUNC(18.05,2)</f>
        <v>18.05</v>
      </c>
      <c r="G282" s="63">
        <f>TRUNC(E282*F282,2)</f>
        <v>37.18</v>
      </c>
      <c r="H282" s="63"/>
      <c r="I282" s="64"/>
    </row>
    <row r="283" spans="5:9" s="67" customFormat="1" ht="14.25">
      <c r="E283" s="67" t="s">
        <v>7</v>
      </c>
      <c r="F283" s="68"/>
      <c r="G283" s="63">
        <f>TRUNC(SUM(G280:G282),2)</f>
        <v>201.87</v>
      </c>
      <c r="H283" s="63"/>
      <c r="I283" s="64"/>
    </row>
    <row r="284" spans="1:9" s="99" customFormat="1" ht="42.75">
      <c r="A284" s="99" t="s">
        <v>313</v>
      </c>
      <c r="B284" s="99" t="s">
        <v>257</v>
      </c>
      <c r="C284" s="99" t="s">
        <v>258</v>
      </c>
      <c r="D284" s="99" t="s">
        <v>12</v>
      </c>
      <c r="E284" s="99">
        <v>2</v>
      </c>
      <c r="F284" s="100">
        <f>TRUNC(G288,2)</f>
        <v>33.89</v>
      </c>
      <c r="G284" s="101">
        <f>TRUNC(F284*1.2977,2)</f>
        <v>43.97</v>
      </c>
      <c r="H284" s="101">
        <f>TRUNC(F284*E284,2)</f>
        <v>67.78</v>
      </c>
      <c r="I284" s="102">
        <f>TRUNC(E284*G284,2)</f>
        <v>87.94</v>
      </c>
    </row>
    <row r="285" spans="2:9" s="67" customFormat="1" ht="14.25">
      <c r="B285" s="67" t="s">
        <v>259</v>
      </c>
      <c r="C285" s="67" t="s">
        <v>260</v>
      </c>
      <c r="D285" s="67" t="s">
        <v>12</v>
      </c>
      <c r="E285" s="67">
        <v>1</v>
      </c>
      <c r="F285" s="68">
        <f>TRUNC(22.68,2)</f>
        <v>22.68</v>
      </c>
      <c r="G285" s="63">
        <f>TRUNC(E285*F285,2)</f>
        <v>22.68</v>
      </c>
      <c r="H285" s="63"/>
      <c r="I285" s="64"/>
    </row>
    <row r="286" spans="2:9" s="67" customFormat="1" ht="28.5">
      <c r="B286" s="67" t="s">
        <v>72</v>
      </c>
      <c r="C286" s="67" t="s">
        <v>73</v>
      </c>
      <c r="D286" s="67" t="s">
        <v>6</v>
      </c>
      <c r="E286" s="67">
        <v>0.3605</v>
      </c>
      <c r="F286" s="68">
        <f>TRUNC(13.08,2)</f>
        <v>13.08</v>
      </c>
      <c r="G286" s="63">
        <f>TRUNC(E286*F286,2)</f>
        <v>4.71</v>
      </c>
      <c r="H286" s="63"/>
      <c r="I286" s="64"/>
    </row>
    <row r="287" spans="2:9" s="67" customFormat="1" ht="28.5">
      <c r="B287" s="67" t="s">
        <v>81</v>
      </c>
      <c r="C287" s="67" t="s">
        <v>82</v>
      </c>
      <c r="D287" s="67" t="s">
        <v>6</v>
      </c>
      <c r="E287" s="67">
        <v>0.3605</v>
      </c>
      <c r="F287" s="68">
        <f>TRUNC(18.05,2)</f>
        <v>18.05</v>
      </c>
      <c r="G287" s="63">
        <f>TRUNC(E287*F287,2)</f>
        <v>6.5</v>
      </c>
      <c r="H287" s="63"/>
      <c r="I287" s="64"/>
    </row>
    <row r="288" spans="5:9" s="67" customFormat="1" ht="14.25">
      <c r="E288" s="67" t="s">
        <v>7</v>
      </c>
      <c r="F288" s="68"/>
      <c r="G288" s="63">
        <f>TRUNC(SUM(G285:G287),2)</f>
        <v>33.89</v>
      </c>
      <c r="H288" s="63"/>
      <c r="I288" s="64"/>
    </row>
    <row r="289" spans="1:9" s="99" customFormat="1" ht="57">
      <c r="A289" s="99" t="s">
        <v>314</v>
      </c>
      <c r="B289" s="99" t="s">
        <v>386</v>
      </c>
      <c r="C289" s="99" t="s">
        <v>387</v>
      </c>
      <c r="D289" s="99" t="s">
        <v>12</v>
      </c>
      <c r="E289" s="99">
        <v>1</v>
      </c>
      <c r="F289" s="100">
        <f>TRUNC(G293,2)</f>
        <v>262.03</v>
      </c>
      <c r="G289" s="101">
        <f>TRUNC(F289*1.2977,2)</f>
        <v>340.03</v>
      </c>
      <c r="H289" s="101">
        <f>TRUNC(F289*E289,2)</f>
        <v>262.03</v>
      </c>
      <c r="I289" s="102">
        <f>TRUNC(E289*G289,2)</f>
        <v>340.03</v>
      </c>
    </row>
    <row r="290" spans="2:9" s="67" customFormat="1" ht="28.5">
      <c r="B290" s="67" t="s">
        <v>388</v>
      </c>
      <c r="C290" s="67" t="s">
        <v>389</v>
      </c>
      <c r="D290" s="67" t="s">
        <v>12</v>
      </c>
      <c r="E290" s="67">
        <v>1</v>
      </c>
      <c r="F290" s="68">
        <f>TRUNC(175.47,2)</f>
        <v>175.47</v>
      </c>
      <c r="G290" s="63">
        <f>TRUNC(E290*F290,2)</f>
        <v>175.47</v>
      </c>
      <c r="H290" s="63"/>
      <c r="I290" s="64"/>
    </row>
    <row r="291" spans="2:9" s="67" customFormat="1" ht="28.5">
      <c r="B291" s="67" t="s">
        <v>72</v>
      </c>
      <c r="C291" s="67" t="s">
        <v>73</v>
      </c>
      <c r="D291" s="67" t="s">
        <v>6</v>
      </c>
      <c r="E291" s="67">
        <v>2.781</v>
      </c>
      <c r="F291" s="68">
        <f>TRUNC(13.08,2)</f>
        <v>13.08</v>
      </c>
      <c r="G291" s="63">
        <f>TRUNC(E291*F291,2)</f>
        <v>36.37</v>
      </c>
      <c r="H291" s="63"/>
      <c r="I291" s="64"/>
    </row>
    <row r="292" spans="2:9" s="67" customFormat="1" ht="28.5">
      <c r="B292" s="67" t="s">
        <v>81</v>
      </c>
      <c r="C292" s="67" t="s">
        <v>82</v>
      </c>
      <c r="D292" s="67" t="s">
        <v>6</v>
      </c>
      <c r="E292" s="67">
        <v>2.781</v>
      </c>
      <c r="F292" s="68">
        <f>TRUNC(18.05,2)</f>
        <v>18.05</v>
      </c>
      <c r="G292" s="63">
        <f>TRUNC(E292*F292,2)</f>
        <v>50.19</v>
      </c>
      <c r="H292" s="63"/>
      <c r="I292" s="64"/>
    </row>
    <row r="293" spans="5:9" s="67" customFormat="1" ht="14.25">
      <c r="E293" s="67" t="s">
        <v>7</v>
      </c>
      <c r="F293" s="68"/>
      <c r="G293" s="63">
        <f>TRUNC(SUM(G290:G292),2)</f>
        <v>262.03</v>
      </c>
      <c r="H293" s="63"/>
      <c r="I293" s="64"/>
    </row>
    <row r="294" spans="1:9" s="99" customFormat="1" ht="57">
      <c r="A294" s="99" t="s">
        <v>315</v>
      </c>
      <c r="B294" s="99" t="s">
        <v>262</v>
      </c>
      <c r="C294" s="99" t="s">
        <v>261</v>
      </c>
      <c r="D294" s="99" t="s">
        <v>3</v>
      </c>
      <c r="E294" s="99">
        <v>155.57</v>
      </c>
      <c r="F294" s="100">
        <f>TRUNC(G299,2)</f>
        <v>3.46</v>
      </c>
      <c r="G294" s="101">
        <f>TRUNC(F294*1.2977,2)</f>
        <v>4.49</v>
      </c>
      <c r="H294" s="101">
        <f>TRUNC(F294*E294,2)</f>
        <v>538.27</v>
      </c>
      <c r="I294" s="102">
        <f>TRUNC(E294*G294,2)</f>
        <v>698.5</v>
      </c>
    </row>
    <row r="295" spans="2:9" s="67" customFormat="1" ht="14.25">
      <c r="B295" s="67" t="s">
        <v>145</v>
      </c>
      <c r="C295" s="67" t="s">
        <v>146</v>
      </c>
      <c r="D295" s="67" t="s">
        <v>12</v>
      </c>
      <c r="E295" s="67">
        <v>0.0014</v>
      </c>
      <c r="F295" s="68">
        <f>TRUNC(8.56,2)</f>
        <v>8.56</v>
      </c>
      <c r="G295" s="63">
        <f>TRUNC(E295*F295,2)</f>
        <v>0.01</v>
      </c>
      <c r="H295" s="63"/>
      <c r="I295" s="64"/>
    </row>
    <row r="296" spans="2:9" s="67" customFormat="1" ht="14.25">
      <c r="B296" s="67" t="s">
        <v>263</v>
      </c>
      <c r="C296" s="67" t="s">
        <v>264</v>
      </c>
      <c r="D296" s="67" t="s">
        <v>3</v>
      </c>
      <c r="E296" s="67">
        <v>1</v>
      </c>
      <c r="F296" s="68">
        <f>TRUNC(1.5,2)</f>
        <v>1.5</v>
      </c>
      <c r="G296" s="63">
        <f>TRUNC(E296*F296,2)</f>
        <v>1.5</v>
      </c>
      <c r="H296" s="63"/>
      <c r="I296" s="64"/>
    </row>
    <row r="297" spans="2:9" s="67" customFormat="1" ht="28.5">
      <c r="B297" s="67" t="s">
        <v>72</v>
      </c>
      <c r="C297" s="67" t="s">
        <v>73</v>
      </c>
      <c r="D297" s="67" t="s">
        <v>6</v>
      </c>
      <c r="E297" s="67">
        <v>0.06283</v>
      </c>
      <c r="F297" s="68">
        <f>TRUNC(13.08,2)</f>
        <v>13.08</v>
      </c>
      <c r="G297" s="63">
        <f>TRUNC(E297*F297,2)</f>
        <v>0.82</v>
      </c>
      <c r="H297" s="63"/>
      <c r="I297" s="64"/>
    </row>
    <row r="298" spans="2:9" s="67" customFormat="1" ht="28.5">
      <c r="B298" s="67" t="s">
        <v>81</v>
      </c>
      <c r="C298" s="67" t="s">
        <v>82</v>
      </c>
      <c r="D298" s="67" t="s">
        <v>6</v>
      </c>
      <c r="E298" s="67">
        <v>0.06283</v>
      </c>
      <c r="F298" s="68">
        <f>TRUNC(18.05,2)</f>
        <v>18.05</v>
      </c>
      <c r="G298" s="63">
        <f>TRUNC(E298*F298,2)</f>
        <v>1.13</v>
      </c>
      <c r="H298" s="63"/>
      <c r="I298" s="64"/>
    </row>
    <row r="299" spans="5:9" s="67" customFormat="1" ht="14.25">
      <c r="E299" s="67" t="s">
        <v>7</v>
      </c>
      <c r="F299" s="68"/>
      <c r="G299" s="63">
        <f>TRUNC(SUM(G295:G298),2)</f>
        <v>3.46</v>
      </c>
      <c r="H299" s="63"/>
      <c r="I299" s="64"/>
    </row>
    <row r="300" spans="1:9" s="99" customFormat="1" ht="57">
      <c r="A300" s="99" t="s">
        <v>316</v>
      </c>
      <c r="B300" s="99" t="s">
        <v>265</v>
      </c>
      <c r="C300" s="99" t="s">
        <v>266</v>
      </c>
      <c r="D300" s="99" t="s">
        <v>12</v>
      </c>
      <c r="E300" s="99">
        <v>1</v>
      </c>
      <c r="F300" s="100">
        <f>TRUNC(G318,2)</f>
        <v>839.94</v>
      </c>
      <c r="G300" s="101">
        <f>TRUNC(F300*1.2977,2)</f>
        <v>1089.99</v>
      </c>
      <c r="H300" s="101">
        <f>TRUNC(F300*E300,2)</f>
        <v>839.94</v>
      </c>
      <c r="I300" s="102">
        <f>TRUNC(E300*G300,2)</f>
        <v>1089.99</v>
      </c>
    </row>
    <row r="301" spans="2:9" s="67" customFormat="1" ht="14.25">
      <c r="B301" s="67" t="s">
        <v>267</v>
      </c>
      <c r="C301" s="67" t="s">
        <v>268</v>
      </c>
      <c r="D301" s="67" t="s">
        <v>12</v>
      </c>
      <c r="E301" s="67">
        <v>1</v>
      </c>
      <c r="F301" s="68">
        <f>TRUNC(23.91,2)</f>
        <v>23.91</v>
      </c>
      <c r="G301" s="63">
        <f aca="true" t="shared" si="11" ref="G301:G317">TRUNC(E301*F301,2)</f>
        <v>23.91</v>
      </c>
      <c r="H301" s="63"/>
      <c r="I301" s="64"/>
    </row>
    <row r="302" spans="2:9" s="67" customFormat="1" ht="14.25">
      <c r="B302" s="67" t="s">
        <v>269</v>
      </c>
      <c r="C302" s="67" t="s">
        <v>270</v>
      </c>
      <c r="D302" s="67" t="s">
        <v>12</v>
      </c>
      <c r="E302" s="67">
        <v>1</v>
      </c>
      <c r="F302" s="68">
        <f>TRUNC(5.87,2)</f>
        <v>5.87</v>
      </c>
      <c r="G302" s="63">
        <f t="shared" si="11"/>
        <v>5.87</v>
      </c>
      <c r="H302" s="63"/>
      <c r="I302" s="64"/>
    </row>
    <row r="303" spans="2:9" s="67" customFormat="1" ht="28.5">
      <c r="B303" s="67" t="s">
        <v>271</v>
      </c>
      <c r="C303" s="67" t="s">
        <v>272</v>
      </c>
      <c r="D303" s="67" t="s">
        <v>5</v>
      </c>
      <c r="E303" s="67">
        <v>0.15</v>
      </c>
      <c r="F303" s="68">
        <f>TRUNC(40.7168,2)</f>
        <v>40.71</v>
      </c>
      <c r="G303" s="63">
        <f t="shared" si="11"/>
        <v>6.1</v>
      </c>
      <c r="H303" s="63"/>
      <c r="I303" s="64"/>
    </row>
    <row r="304" spans="2:9" s="67" customFormat="1" ht="28.5">
      <c r="B304" s="67" t="s">
        <v>273</v>
      </c>
      <c r="C304" s="67" t="s">
        <v>274</v>
      </c>
      <c r="D304" s="67" t="s">
        <v>12</v>
      </c>
      <c r="E304" s="67">
        <v>2</v>
      </c>
      <c r="F304" s="68">
        <f>TRUNC(4.41,2)</f>
        <v>4.41</v>
      </c>
      <c r="G304" s="63">
        <f t="shared" si="11"/>
        <v>8.82</v>
      </c>
      <c r="H304" s="63"/>
      <c r="I304" s="64"/>
    </row>
    <row r="305" spans="2:9" s="67" customFormat="1" ht="14.25">
      <c r="B305" s="67" t="s">
        <v>275</v>
      </c>
      <c r="C305" s="67" t="s">
        <v>276</v>
      </c>
      <c r="D305" s="67" t="s">
        <v>12</v>
      </c>
      <c r="E305" s="67">
        <v>2</v>
      </c>
      <c r="F305" s="68">
        <f>TRUNC(0.41,2)</f>
        <v>0.41</v>
      </c>
      <c r="G305" s="63">
        <f t="shared" si="11"/>
        <v>0.82</v>
      </c>
      <c r="H305" s="63"/>
      <c r="I305" s="64"/>
    </row>
    <row r="306" spans="2:9" s="67" customFormat="1" ht="14.25">
      <c r="B306" s="67" t="s">
        <v>277</v>
      </c>
      <c r="C306" s="67" t="s">
        <v>278</v>
      </c>
      <c r="D306" s="67" t="s">
        <v>12</v>
      </c>
      <c r="E306" s="67">
        <v>2</v>
      </c>
      <c r="F306" s="68">
        <f>TRUNC(0.62,2)</f>
        <v>0.62</v>
      </c>
      <c r="G306" s="63">
        <f t="shared" si="11"/>
        <v>1.24</v>
      </c>
      <c r="H306" s="63"/>
      <c r="I306" s="64"/>
    </row>
    <row r="307" spans="2:9" s="67" customFormat="1" ht="14.25">
      <c r="B307" s="67" t="s">
        <v>279</v>
      </c>
      <c r="C307" s="67" t="s">
        <v>280</v>
      </c>
      <c r="D307" s="67" t="s">
        <v>12</v>
      </c>
      <c r="E307" s="67">
        <v>1</v>
      </c>
      <c r="F307" s="68">
        <f>TRUNC(21.03,2)</f>
        <v>21.03</v>
      </c>
      <c r="G307" s="63">
        <f t="shared" si="11"/>
        <v>21.03</v>
      </c>
      <c r="H307" s="63"/>
      <c r="I307" s="64"/>
    </row>
    <row r="308" spans="2:9" s="67" customFormat="1" ht="14.25">
      <c r="B308" s="67" t="s">
        <v>281</v>
      </c>
      <c r="C308" s="67" t="s">
        <v>282</v>
      </c>
      <c r="D308" s="67" t="s">
        <v>12</v>
      </c>
      <c r="E308" s="67">
        <v>2</v>
      </c>
      <c r="F308" s="68">
        <f>TRUNC(0.71,2)</f>
        <v>0.71</v>
      </c>
      <c r="G308" s="63">
        <f t="shared" si="11"/>
        <v>1.42</v>
      </c>
      <c r="H308" s="63"/>
      <c r="I308" s="64"/>
    </row>
    <row r="309" spans="2:9" s="67" customFormat="1" ht="14.25">
      <c r="B309" s="67" t="s">
        <v>283</v>
      </c>
      <c r="C309" s="67" t="s">
        <v>284</v>
      </c>
      <c r="D309" s="67" t="s">
        <v>12</v>
      </c>
      <c r="E309" s="67">
        <v>3</v>
      </c>
      <c r="F309" s="68">
        <f>TRUNC(3.53,2)</f>
        <v>3.53</v>
      </c>
      <c r="G309" s="63">
        <f t="shared" si="11"/>
        <v>10.59</v>
      </c>
      <c r="H309" s="63"/>
      <c r="I309" s="64"/>
    </row>
    <row r="310" spans="2:9" s="67" customFormat="1" ht="28.5">
      <c r="B310" s="67" t="s">
        <v>285</v>
      </c>
      <c r="C310" s="67" t="s">
        <v>286</v>
      </c>
      <c r="D310" s="67" t="s">
        <v>12</v>
      </c>
      <c r="E310" s="67">
        <v>1</v>
      </c>
      <c r="F310" s="68">
        <f>TRUNC(3.4004,2)</f>
        <v>3.4</v>
      </c>
      <c r="G310" s="63">
        <f t="shared" si="11"/>
        <v>3.4</v>
      </c>
      <c r="H310" s="63"/>
      <c r="I310" s="64"/>
    </row>
    <row r="311" spans="2:9" s="67" customFormat="1" ht="28.5">
      <c r="B311" s="67" t="s">
        <v>287</v>
      </c>
      <c r="C311" s="67" t="s">
        <v>288</v>
      </c>
      <c r="D311" s="67" t="s">
        <v>12</v>
      </c>
      <c r="E311" s="67">
        <v>1</v>
      </c>
      <c r="F311" s="68">
        <f>TRUNC(51.4,2)</f>
        <v>51.4</v>
      </c>
      <c r="G311" s="63">
        <f t="shared" si="11"/>
        <v>51.4</v>
      </c>
      <c r="H311" s="63"/>
      <c r="I311" s="64"/>
    </row>
    <row r="312" spans="2:9" s="67" customFormat="1" ht="28.5">
      <c r="B312" s="67" t="s">
        <v>289</v>
      </c>
      <c r="C312" s="67" t="s">
        <v>290</v>
      </c>
      <c r="D312" s="67" t="s">
        <v>12</v>
      </c>
      <c r="E312" s="67">
        <v>1</v>
      </c>
      <c r="F312" s="68">
        <f>TRUNC(23.81,2)</f>
        <v>23.81</v>
      </c>
      <c r="G312" s="63">
        <f t="shared" si="11"/>
        <v>23.81</v>
      </c>
      <c r="H312" s="63"/>
      <c r="I312" s="64"/>
    </row>
    <row r="313" spans="2:9" s="67" customFormat="1" ht="14.25">
      <c r="B313" s="67" t="s">
        <v>291</v>
      </c>
      <c r="C313" s="67" t="s">
        <v>292</v>
      </c>
      <c r="D313" s="67" t="s">
        <v>12</v>
      </c>
      <c r="E313" s="67">
        <v>1</v>
      </c>
      <c r="F313" s="68">
        <f>TRUNC(26.0015,2)</f>
        <v>26</v>
      </c>
      <c r="G313" s="63">
        <f t="shared" si="11"/>
        <v>26</v>
      </c>
      <c r="H313" s="63"/>
      <c r="I313" s="64"/>
    </row>
    <row r="314" spans="2:9" s="67" customFormat="1" ht="28.5">
      <c r="B314" s="67" t="s">
        <v>81</v>
      </c>
      <c r="C314" s="67" t="s">
        <v>82</v>
      </c>
      <c r="D314" s="67" t="s">
        <v>6</v>
      </c>
      <c r="E314" s="67">
        <v>17.51</v>
      </c>
      <c r="F314" s="68">
        <f>TRUNC(18.05,2)</f>
        <v>18.05</v>
      </c>
      <c r="G314" s="63">
        <f t="shared" si="11"/>
        <v>316.05</v>
      </c>
      <c r="H314" s="63"/>
      <c r="I314" s="64"/>
    </row>
    <row r="315" spans="2:9" s="67" customFormat="1" ht="28.5">
      <c r="B315" s="67" t="s">
        <v>72</v>
      </c>
      <c r="C315" s="67" t="s">
        <v>73</v>
      </c>
      <c r="D315" s="67" t="s">
        <v>6</v>
      </c>
      <c r="E315" s="67">
        <v>17.51</v>
      </c>
      <c r="F315" s="68">
        <f>TRUNC(13.08,2)</f>
        <v>13.08</v>
      </c>
      <c r="G315" s="63">
        <f t="shared" si="11"/>
        <v>229.03</v>
      </c>
      <c r="H315" s="63"/>
      <c r="I315" s="64"/>
    </row>
    <row r="316" spans="2:9" s="67" customFormat="1" ht="14.25">
      <c r="B316" s="67" t="s">
        <v>681</v>
      </c>
      <c r="C316" s="67" t="s">
        <v>682</v>
      </c>
      <c r="D316" s="67" t="s">
        <v>0</v>
      </c>
      <c r="E316" s="67">
        <v>1.7</v>
      </c>
      <c r="F316" s="68">
        <f>TRUNC(44.6325,2)</f>
        <v>44.63</v>
      </c>
      <c r="G316" s="63">
        <f t="shared" si="11"/>
        <v>75.87</v>
      </c>
      <c r="H316" s="63"/>
      <c r="I316" s="64"/>
    </row>
    <row r="317" spans="2:9" s="67" customFormat="1" ht="14.25">
      <c r="B317" s="67" t="s">
        <v>293</v>
      </c>
      <c r="C317" s="67" t="s">
        <v>294</v>
      </c>
      <c r="D317" s="67" t="s">
        <v>1</v>
      </c>
      <c r="E317" s="67">
        <v>0.13</v>
      </c>
      <c r="F317" s="68">
        <f>TRUNC(266.0371,2)</f>
        <v>266.03</v>
      </c>
      <c r="G317" s="63">
        <f t="shared" si="11"/>
        <v>34.58</v>
      </c>
      <c r="H317" s="63"/>
      <c r="I317" s="64"/>
    </row>
    <row r="318" spans="5:9" s="67" customFormat="1" ht="14.25">
      <c r="E318" s="67" t="s">
        <v>7</v>
      </c>
      <c r="F318" s="68"/>
      <c r="G318" s="63">
        <f>TRUNC(SUM(G301:G317),2)</f>
        <v>839.94</v>
      </c>
      <c r="H318" s="63"/>
      <c r="I318" s="64"/>
    </row>
    <row r="319" spans="1:9" s="99" customFormat="1" ht="28.5">
      <c r="A319" s="99" t="s">
        <v>317</v>
      </c>
      <c r="B319" s="99" t="s">
        <v>298</v>
      </c>
      <c r="C319" s="99" t="s">
        <v>299</v>
      </c>
      <c r="D319" s="99" t="s">
        <v>12</v>
      </c>
      <c r="E319" s="99">
        <v>1</v>
      </c>
      <c r="F319" s="100">
        <f>TRUNC(G323,2)</f>
        <v>36.85</v>
      </c>
      <c r="G319" s="101">
        <f>TRUNC(F319*1.2977,2)</f>
        <v>47.82</v>
      </c>
      <c r="H319" s="101">
        <f>TRUNC(F319*E319,2)</f>
        <v>36.85</v>
      </c>
      <c r="I319" s="102">
        <f>TRUNC(E319*G319,2)</f>
        <v>47.82</v>
      </c>
    </row>
    <row r="320" spans="2:9" s="67" customFormat="1" ht="28.5">
      <c r="B320" s="67" t="s">
        <v>300</v>
      </c>
      <c r="C320" s="67" t="s">
        <v>747</v>
      </c>
      <c r="D320" s="67" t="s">
        <v>12</v>
      </c>
      <c r="E320" s="67">
        <v>1</v>
      </c>
      <c r="F320" s="68">
        <f>TRUNC(28.85,2)</f>
        <v>28.85</v>
      </c>
      <c r="G320" s="63">
        <f>TRUNC(E320*F320,2)</f>
        <v>28.85</v>
      </c>
      <c r="H320" s="63"/>
      <c r="I320" s="64"/>
    </row>
    <row r="321" spans="2:9" s="67" customFormat="1" ht="28.5">
      <c r="B321" s="67" t="s">
        <v>72</v>
      </c>
      <c r="C321" s="67" t="s">
        <v>73</v>
      </c>
      <c r="D321" s="67" t="s">
        <v>6</v>
      </c>
      <c r="E321" s="67">
        <v>0.2575</v>
      </c>
      <c r="F321" s="68">
        <f>TRUNC(13.08,2)</f>
        <v>13.08</v>
      </c>
      <c r="G321" s="63">
        <f>TRUNC(E321*F321,2)</f>
        <v>3.36</v>
      </c>
      <c r="H321" s="63"/>
      <c r="I321" s="64"/>
    </row>
    <row r="322" spans="2:9" s="67" customFormat="1" ht="28.5">
      <c r="B322" s="67" t="s">
        <v>81</v>
      </c>
      <c r="C322" s="67" t="s">
        <v>82</v>
      </c>
      <c r="D322" s="67" t="s">
        <v>6</v>
      </c>
      <c r="E322" s="67">
        <v>0.2575</v>
      </c>
      <c r="F322" s="68">
        <f>TRUNC(18.05,2)</f>
        <v>18.05</v>
      </c>
      <c r="G322" s="63">
        <f>TRUNC(E322*F322,2)</f>
        <v>4.64</v>
      </c>
      <c r="H322" s="63"/>
      <c r="I322" s="64"/>
    </row>
    <row r="323" spans="5:9" s="67" customFormat="1" ht="14.25">
      <c r="E323" s="67" t="s">
        <v>7</v>
      </c>
      <c r="F323" s="68"/>
      <c r="G323" s="63">
        <f>TRUNC(SUM(G320:G322),2)</f>
        <v>36.85</v>
      </c>
      <c r="H323" s="63"/>
      <c r="I323" s="64"/>
    </row>
    <row r="324" spans="1:9" s="99" customFormat="1" ht="28.5">
      <c r="A324" s="99" t="s">
        <v>494</v>
      </c>
      <c r="B324" s="99" t="s">
        <v>748</v>
      </c>
      <c r="C324" s="99" t="s">
        <v>390</v>
      </c>
      <c r="D324" s="99" t="s">
        <v>12</v>
      </c>
      <c r="E324" s="99">
        <v>2</v>
      </c>
      <c r="F324" s="100">
        <f>TRUNC(G329,2)</f>
        <v>54.76</v>
      </c>
      <c r="G324" s="101">
        <f>TRUNC(F324*1.2977,2)</f>
        <v>71.06</v>
      </c>
      <c r="H324" s="101">
        <f>TRUNC(F324*E324,2)</f>
        <v>109.52</v>
      </c>
      <c r="I324" s="102">
        <f>TRUNC(E324*G324,2)</f>
        <v>142.12</v>
      </c>
    </row>
    <row r="325" spans="2:9" s="67" customFormat="1" ht="14.25">
      <c r="B325" s="67" t="s">
        <v>749</v>
      </c>
      <c r="C325" s="67" t="s">
        <v>391</v>
      </c>
      <c r="D325" s="67" t="s">
        <v>12</v>
      </c>
      <c r="E325" s="67">
        <v>1</v>
      </c>
      <c r="F325" s="68">
        <f>TRUNC(49.3,2)</f>
        <v>49.3</v>
      </c>
      <c r="G325" s="63">
        <f>TRUNC(E325*F325,2)</f>
        <v>49.3</v>
      </c>
      <c r="H325" s="63"/>
      <c r="I325" s="64"/>
    </row>
    <row r="326" spans="2:9" s="67" customFormat="1" ht="28.5">
      <c r="B326" s="67" t="s">
        <v>750</v>
      </c>
      <c r="C326" s="67" t="s">
        <v>392</v>
      </c>
      <c r="D326" s="67" t="s">
        <v>12</v>
      </c>
      <c r="E326" s="67">
        <v>2</v>
      </c>
      <c r="F326" s="68">
        <f>TRUNC(0.6,2)</f>
        <v>0.6</v>
      </c>
      <c r="G326" s="63">
        <f>TRUNC(E326*F326,2)</f>
        <v>1.2</v>
      </c>
      <c r="H326" s="63"/>
      <c r="I326" s="64"/>
    </row>
    <row r="327" spans="2:9" s="67" customFormat="1" ht="14.25">
      <c r="B327" s="67" t="s">
        <v>723</v>
      </c>
      <c r="C327" s="67" t="s">
        <v>296</v>
      </c>
      <c r="D327" s="67" t="s">
        <v>6</v>
      </c>
      <c r="E327" s="67">
        <v>0.095</v>
      </c>
      <c r="F327" s="68">
        <f>TRUNC(25.17,2)</f>
        <v>25.17</v>
      </c>
      <c r="G327" s="63">
        <f>TRUNC(E327*F327,2)</f>
        <v>2.39</v>
      </c>
      <c r="H327" s="63"/>
      <c r="I327" s="64"/>
    </row>
    <row r="328" spans="2:9" s="67" customFormat="1" ht="14.25">
      <c r="B328" s="67" t="s">
        <v>751</v>
      </c>
      <c r="C328" s="67" t="s">
        <v>297</v>
      </c>
      <c r="D328" s="67" t="s">
        <v>6</v>
      </c>
      <c r="E328" s="67">
        <v>0.095</v>
      </c>
      <c r="F328" s="68">
        <f>TRUNC(19.77,2)</f>
        <v>19.77</v>
      </c>
      <c r="G328" s="63">
        <f>TRUNC(E328*F328,2)</f>
        <v>1.87</v>
      </c>
      <c r="H328" s="63"/>
      <c r="I328" s="64"/>
    </row>
    <row r="329" spans="5:9" s="67" customFormat="1" ht="14.25">
      <c r="E329" s="67" t="s">
        <v>7</v>
      </c>
      <c r="F329" s="68"/>
      <c r="G329" s="63">
        <f>TRUNC(SUM(G325:G328),2)</f>
        <v>54.76</v>
      </c>
      <c r="H329" s="63"/>
      <c r="I329" s="64"/>
    </row>
    <row r="330" spans="1:9" s="99" customFormat="1" ht="28.5">
      <c r="A330" s="99" t="s">
        <v>318</v>
      </c>
      <c r="B330" s="99" t="s">
        <v>752</v>
      </c>
      <c r="C330" s="99" t="s">
        <v>301</v>
      </c>
      <c r="D330" s="99" t="s">
        <v>3</v>
      </c>
      <c r="E330" s="99">
        <v>38.19</v>
      </c>
      <c r="F330" s="100">
        <f>TRUNC(G335,2)</f>
        <v>7.75</v>
      </c>
      <c r="G330" s="101">
        <f>TRUNC(F330*1.2977,2)</f>
        <v>10.05</v>
      </c>
      <c r="H330" s="101">
        <f>TRUNC(F330*E330,2)</f>
        <v>295.97</v>
      </c>
      <c r="I330" s="102">
        <f>TRUNC(E330*G330,2)</f>
        <v>383.8</v>
      </c>
    </row>
    <row r="331" spans="2:9" s="67" customFormat="1" ht="14.25">
      <c r="B331" s="67" t="s">
        <v>753</v>
      </c>
      <c r="C331" s="67" t="s">
        <v>295</v>
      </c>
      <c r="D331" s="67" t="s">
        <v>5</v>
      </c>
      <c r="E331" s="67">
        <v>0.0018</v>
      </c>
      <c r="F331" s="68">
        <f>TRUNC(13.35,2)</f>
        <v>13.35</v>
      </c>
      <c r="G331" s="63">
        <f>TRUNC(E331*F331,2)</f>
        <v>0.02</v>
      </c>
      <c r="H331" s="63"/>
      <c r="I331" s="64"/>
    </row>
    <row r="332" spans="2:9" s="67" customFormat="1" ht="14.25">
      <c r="B332" s="67" t="s">
        <v>754</v>
      </c>
      <c r="C332" s="67" t="s">
        <v>302</v>
      </c>
      <c r="D332" s="67" t="s">
        <v>3</v>
      </c>
      <c r="E332" s="67">
        <v>1.017</v>
      </c>
      <c r="F332" s="68">
        <f>TRUNC(3.11,2)</f>
        <v>3.11</v>
      </c>
      <c r="G332" s="63">
        <f>TRUNC(E332*F332,2)</f>
        <v>3.16</v>
      </c>
      <c r="H332" s="63"/>
      <c r="I332" s="64"/>
    </row>
    <row r="333" spans="2:9" s="67" customFormat="1" ht="14.25">
      <c r="B333" s="67" t="s">
        <v>723</v>
      </c>
      <c r="C333" s="67" t="s">
        <v>296</v>
      </c>
      <c r="D333" s="67" t="s">
        <v>6</v>
      </c>
      <c r="E333" s="67">
        <v>0.102</v>
      </c>
      <c r="F333" s="68">
        <f>TRUNC(25.17,2)</f>
        <v>25.17</v>
      </c>
      <c r="G333" s="63">
        <f>TRUNC(E333*F333,2)</f>
        <v>2.56</v>
      </c>
      <c r="H333" s="63"/>
      <c r="I333" s="64"/>
    </row>
    <row r="334" spans="2:9" s="67" customFormat="1" ht="14.25">
      <c r="B334" s="67" t="s">
        <v>751</v>
      </c>
      <c r="C334" s="67" t="s">
        <v>297</v>
      </c>
      <c r="D334" s="67" t="s">
        <v>6</v>
      </c>
      <c r="E334" s="67">
        <v>0.102</v>
      </c>
      <c r="F334" s="68">
        <f>TRUNC(19.77,2)</f>
        <v>19.77</v>
      </c>
      <c r="G334" s="63">
        <f>TRUNC(E334*F334,2)</f>
        <v>2.01</v>
      </c>
      <c r="H334" s="63"/>
      <c r="I334" s="64"/>
    </row>
    <row r="335" spans="5:9" s="67" customFormat="1" ht="14.25">
      <c r="E335" s="67" t="s">
        <v>7</v>
      </c>
      <c r="F335" s="68"/>
      <c r="G335" s="63">
        <f>TRUNC(SUM(G331:G334),2)</f>
        <v>7.75</v>
      </c>
      <c r="H335" s="63"/>
      <c r="I335" s="64"/>
    </row>
    <row r="336" spans="1:9" s="99" customFormat="1" ht="28.5">
      <c r="A336" s="99" t="s">
        <v>319</v>
      </c>
      <c r="B336" s="99" t="s">
        <v>755</v>
      </c>
      <c r="C336" s="99" t="s">
        <v>303</v>
      </c>
      <c r="D336" s="99" t="s">
        <v>12</v>
      </c>
      <c r="E336" s="99">
        <v>8</v>
      </c>
      <c r="F336" s="100">
        <f>TRUNC(G340,2)</f>
        <v>9.45</v>
      </c>
      <c r="G336" s="101">
        <f>TRUNC(F336*1.2977,2)</f>
        <v>12.26</v>
      </c>
      <c r="H336" s="101">
        <f>TRUNC(F336*E336,2)</f>
        <v>75.6</v>
      </c>
      <c r="I336" s="102">
        <f>TRUNC(E336*G336,2)</f>
        <v>98.08</v>
      </c>
    </row>
    <row r="337" spans="2:9" s="67" customFormat="1" ht="14.25">
      <c r="B337" s="67" t="s">
        <v>756</v>
      </c>
      <c r="C337" s="67" t="s">
        <v>304</v>
      </c>
      <c r="D337" s="67" t="s">
        <v>12</v>
      </c>
      <c r="E337" s="67">
        <v>1</v>
      </c>
      <c r="F337" s="68">
        <f>TRUNC(2.27,2)</f>
        <v>2.27</v>
      </c>
      <c r="G337" s="63">
        <f>TRUNC(E337*F337,2)</f>
        <v>2.27</v>
      </c>
      <c r="H337" s="63"/>
      <c r="I337" s="64"/>
    </row>
    <row r="338" spans="2:9" s="67" customFormat="1" ht="14.25">
      <c r="B338" s="67" t="s">
        <v>723</v>
      </c>
      <c r="C338" s="67" t="s">
        <v>296</v>
      </c>
      <c r="D338" s="67" t="s">
        <v>6</v>
      </c>
      <c r="E338" s="67">
        <v>0.16</v>
      </c>
      <c r="F338" s="68">
        <f>TRUNC(25.17,2)</f>
        <v>25.17</v>
      </c>
      <c r="G338" s="63">
        <f>TRUNC(E338*F338,2)</f>
        <v>4.02</v>
      </c>
      <c r="H338" s="63"/>
      <c r="I338" s="64"/>
    </row>
    <row r="339" spans="2:9" s="67" customFormat="1" ht="14.25">
      <c r="B339" s="67" t="s">
        <v>751</v>
      </c>
      <c r="C339" s="67" t="s">
        <v>297</v>
      </c>
      <c r="D339" s="67" t="s">
        <v>6</v>
      </c>
      <c r="E339" s="67">
        <v>0.16</v>
      </c>
      <c r="F339" s="68">
        <f>TRUNC(19.77,2)</f>
        <v>19.77</v>
      </c>
      <c r="G339" s="63">
        <f>TRUNC(E339*F339,2)</f>
        <v>3.16</v>
      </c>
      <c r="H339" s="63"/>
      <c r="I339" s="64"/>
    </row>
    <row r="340" spans="5:9" s="67" customFormat="1" ht="14.25">
      <c r="E340" s="67" t="s">
        <v>7</v>
      </c>
      <c r="F340" s="68"/>
      <c r="G340" s="63">
        <f>TRUNC(SUM(G337:G339),2)</f>
        <v>9.45</v>
      </c>
      <c r="H340" s="63"/>
      <c r="I340" s="64"/>
    </row>
    <row r="341" spans="1:9" s="99" customFormat="1" ht="28.5">
      <c r="A341" s="99" t="s">
        <v>320</v>
      </c>
      <c r="B341" s="99" t="s">
        <v>757</v>
      </c>
      <c r="C341" s="99" t="s">
        <v>305</v>
      </c>
      <c r="D341" s="99" t="s">
        <v>12</v>
      </c>
      <c r="E341" s="99">
        <v>1</v>
      </c>
      <c r="F341" s="100">
        <f>TRUNC(G346,2)</f>
        <v>24.96</v>
      </c>
      <c r="G341" s="101">
        <f>TRUNC(F341*1.2977,2)</f>
        <v>32.39</v>
      </c>
      <c r="H341" s="101">
        <f>TRUNC(F341*E341,2)</f>
        <v>24.96</v>
      </c>
      <c r="I341" s="102">
        <f>TRUNC(E341*G341,2)</f>
        <v>32.39</v>
      </c>
    </row>
    <row r="342" spans="2:9" s="67" customFormat="1" ht="14.25">
      <c r="B342" s="67" t="s">
        <v>758</v>
      </c>
      <c r="C342" s="67" t="s">
        <v>306</v>
      </c>
      <c r="D342" s="67" t="s">
        <v>12</v>
      </c>
      <c r="E342" s="67">
        <v>1</v>
      </c>
      <c r="F342" s="68">
        <f>TRUNC(14.89,2)</f>
        <v>14.89</v>
      </c>
      <c r="G342" s="63">
        <f>TRUNC(E342*F342,2)</f>
        <v>14.89</v>
      </c>
      <c r="H342" s="63"/>
      <c r="I342" s="64"/>
    </row>
    <row r="343" spans="2:9" s="67" customFormat="1" ht="14.25">
      <c r="B343" s="67" t="s">
        <v>722</v>
      </c>
      <c r="C343" s="67" t="s">
        <v>127</v>
      </c>
      <c r="D343" s="67" t="s">
        <v>6</v>
      </c>
      <c r="E343" s="67">
        <v>0.1693</v>
      </c>
      <c r="F343" s="68">
        <f>TRUNC(19.85,2)</f>
        <v>19.85</v>
      </c>
      <c r="G343" s="63">
        <f>TRUNC(E343*F343,2)</f>
        <v>3.36</v>
      </c>
      <c r="H343" s="63"/>
      <c r="I343" s="64"/>
    </row>
    <row r="344" spans="2:9" s="67" customFormat="1" ht="14.25">
      <c r="B344" s="67" t="s">
        <v>727</v>
      </c>
      <c r="C344" s="67" t="s">
        <v>307</v>
      </c>
      <c r="D344" s="67" t="s">
        <v>6</v>
      </c>
      <c r="E344" s="67">
        <v>0.1693</v>
      </c>
      <c r="F344" s="68">
        <f>TRUNC(25.18,2)</f>
        <v>25.18</v>
      </c>
      <c r="G344" s="63">
        <f>TRUNC(E344*F344,2)</f>
        <v>4.26</v>
      </c>
      <c r="H344" s="63"/>
      <c r="I344" s="64"/>
    </row>
    <row r="345" spans="2:9" s="67" customFormat="1" ht="42.75">
      <c r="B345" s="67" t="s">
        <v>759</v>
      </c>
      <c r="C345" s="67" t="s">
        <v>760</v>
      </c>
      <c r="D345" s="67" t="s">
        <v>1</v>
      </c>
      <c r="E345" s="67">
        <v>0.0141</v>
      </c>
      <c r="F345" s="68">
        <f>TRUNC(173.83,2)</f>
        <v>173.83</v>
      </c>
      <c r="G345" s="63">
        <f>TRUNC(E345*F345,2)</f>
        <v>2.45</v>
      </c>
      <c r="H345" s="63"/>
      <c r="I345" s="64"/>
    </row>
    <row r="346" spans="5:9" s="67" customFormat="1" ht="14.25">
      <c r="E346" s="67" t="s">
        <v>7</v>
      </c>
      <c r="F346" s="68"/>
      <c r="G346" s="63">
        <f>TRUNC(SUM(G342:G345),2)</f>
        <v>24.96</v>
      </c>
      <c r="H346" s="63"/>
      <c r="I346" s="64"/>
    </row>
    <row r="347" spans="1:9" s="99" customFormat="1" ht="42.75">
      <c r="A347" s="99" t="s">
        <v>321</v>
      </c>
      <c r="B347" s="99" t="s">
        <v>325</v>
      </c>
      <c r="C347" s="99" t="s">
        <v>324</v>
      </c>
      <c r="D347" s="99" t="s">
        <v>12</v>
      </c>
      <c r="E347" s="99">
        <v>1</v>
      </c>
      <c r="F347" s="100">
        <f>TRUNC(G354,2)</f>
        <v>507.19</v>
      </c>
      <c r="G347" s="101">
        <f>TRUNC(F347*1.2977,2)</f>
        <v>658.18</v>
      </c>
      <c r="H347" s="101">
        <f>TRUNC(F347*E347,2)</f>
        <v>507.19</v>
      </c>
      <c r="I347" s="102">
        <f>TRUNC(E347*G347,2)</f>
        <v>658.18</v>
      </c>
    </row>
    <row r="348" spans="2:9" s="67" customFormat="1" ht="28.5">
      <c r="B348" s="67" t="s">
        <v>326</v>
      </c>
      <c r="C348" s="67" t="s">
        <v>327</v>
      </c>
      <c r="D348" s="67" t="s">
        <v>12</v>
      </c>
      <c r="E348" s="67">
        <v>1</v>
      </c>
      <c r="F348" s="68">
        <f>TRUNC(322.4,2)</f>
        <v>322.4</v>
      </c>
      <c r="G348" s="63">
        <f aca="true" t="shared" si="12" ref="G348:G353">TRUNC(E348*F348,2)</f>
        <v>322.4</v>
      </c>
      <c r="H348" s="63"/>
      <c r="I348" s="64"/>
    </row>
    <row r="349" spans="2:9" s="67" customFormat="1" ht="28.5">
      <c r="B349" s="67" t="s">
        <v>72</v>
      </c>
      <c r="C349" s="67" t="s">
        <v>73</v>
      </c>
      <c r="D349" s="67" t="s">
        <v>6</v>
      </c>
      <c r="E349" s="67">
        <v>5.665</v>
      </c>
      <c r="F349" s="68">
        <f>TRUNC(13.08,2)</f>
        <v>13.08</v>
      </c>
      <c r="G349" s="63">
        <f t="shared" si="12"/>
        <v>74.09</v>
      </c>
      <c r="H349" s="63"/>
      <c r="I349" s="64"/>
    </row>
    <row r="350" spans="2:9" s="67" customFormat="1" ht="14.25">
      <c r="B350" s="67" t="s">
        <v>683</v>
      </c>
      <c r="C350" s="67" t="s">
        <v>684</v>
      </c>
      <c r="D350" s="67" t="s">
        <v>6</v>
      </c>
      <c r="E350" s="67">
        <v>1</v>
      </c>
      <c r="F350" s="68">
        <f>TRUNC(35.1493,2)</f>
        <v>35.14</v>
      </c>
      <c r="G350" s="63">
        <f t="shared" si="12"/>
        <v>35.14</v>
      </c>
      <c r="H350" s="63"/>
      <c r="I350" s="64"/>
    </row>
    <row r="351" spans="2:9" s="67" customFormat="1" ht="14.25">
      <c r="B351" s="67" t="s">
        <v>685</v>
      </c>
      <c r="C351" s="67" t="s">
        <v>686</v>
      </c>
      <c r="D351" s="67" t="s">
        <v>6</v>
      </c>
      <c r="E351" s="67">
        <v>1</v>
      </c>
      <c r="F351" s="68">
        <f>TRUNC(49.1122,2)</f>
        <v>49.11</v>
      </c>
      <c r="G351" s="63">
        <f t="shared" si="12"/>
        <v>49.11</v>
      </c>
      <c r="H351" s="63"/>
      <c r="I351" s="64"/>
    </row>
    <row r="352" spans="2:9" s="67" customFormat="1" ht="14.25">
      <c r="B352" s="67" t="s">
        <v>687</v>
      </c>
      <c r="C352" s="67" t="s">
        <v>688</v>
      </c>
      <c r="D352" s="67" t="s">
        <v>1</v>
      </c>
      <c r="E352" s="67">
        <v>0.1</v>
      </c>
      <c r="F352" s="68">
        <f>TRUNC(58.9953,2)</f>
        <v>58.99</v>
      </c>
      <c r="G352" s="63">
        <f t="shared" si="12"/>
        <v>5.89</v>
      </c>
      <c r="H352" s="63"/>
      <c r="I352" s="64"/>
    </row>
    <row r="353" spans="2:9" s="67" customFormat="1" ht="14.25">
      <c r="B353" s="67" t="s">
        <v>689</v>
      </c>
      <c r="C353" s="67" t="s">
        <v>690</v>
      </c>
      <c r="D353" s="67" t="s">
        <v>1</v>
      </c>
      <c r="E353" s="67">
        <v>0.1</v>
      </c>
      <c r="F353" s="68">
        <f>TRUNC(205.6994,2)</f>
        <v>205.69</v>
      </c>
      <c r="G353" s="63">
        <f t="shared" si="12"/>
        <v>20.56</v>
      </c>
      <c r="H353" s="63"/>
      <c r="I353" s="64"/>
    </row>
    <row r="354" spans="5:9" s="67" customFormat="1" ht="14.25">
      <c r="E354" s="67" t="s">
        <v>7</v>
      </c>
      <c r="F354" s="68"/>
      <c r="G354" s="63">
        <f>TRUNC(SUM(G348:G353),2)</f>
        <v>507.19</v>
      </c>
      <c r="H354" s="63"/>
      <c r="I354" s="64"/>
    </row>
    <row r="355" spans="1:9" s="99" customFormat="1" ht="42.75">
      <c r="A355" s="99" t="s">
        <v>322</v>
      </c>
      <c r="B355" s="99" t="s">
        <v>334</v>
      </c>
      <c r="C355" s="99" t="s">
        <v>335</v>
      </c>
      <c r="D355" s="99" t="s">
        <v>12</v>
      </c>
      <c r="E355" s="99">
        <v>5</v>
      </c>
      <c r="F355" s="100">
        <f>TRUNC(G360,2)</f>
        <v>5.5</v>
      </c>
      <c r="G355" s="101">
        <f>TRUNC(F355*1.2977,2)</f>
        <v>7.13</v>
      </c>
      <c r="H355" s="101">
        <f>TRUNC(F355*E355,2)</f>
        <v>27.5</v>
      </c>
      <c r="I355" s="102">
        <f>TRUNC(E355*G355,2)</f>
        <v>35.65</v>
      </c>
    </row>
    <row r="356" spans="2:9" s="67" customFormat="1" ht="14.25">
      <c r="B356" s="67" t="s">
        <v>336</v>
      </c>
      <c r="C356" s="67" t="s">
        <v>337</v>
      </c>
      <c r="D356" s="67" t="s">
        <v>12</v>
      </c>
      <c r="E356" s="67">
        <v>1</v>
      </c>
      <c r="F356" s="68">
        <f>TRUNC(0.04,2)</f>
        <v>0.04</v>
      </c>
      <c r="G356" s="63">
        <f>TRUNC(E356*F356,2)</f>
        <v>0.04</v>
      </c>
      <c r="H356" s="63"/>
      <c r="I356" s="64"/>
    </row>
    <row r="357" spans="2:9" s="67" customFormat="1" ht="14.25">
      <c r="B357" s="67" t="s">
        <v>338</v>
      </c>
      <c r="C357" s="67" t="s">
        <v>339</v>
      </c>
      <c r="D357" s="67" t="s">
        <v>12</v>
      </c>
      <c r="E357" s="67">
        <v>1</v>
      </c>
      <c r="F357" s="68">
        <f>TRUNC(0.02,2)</f>
        <v>0.02</v>
      </c>
      <c r="G357" s="63">
        <f>TRUNC(E357*F357,2)</f>
        <v>0.02</v>
      </c>
      <c r="H357" s="63"/>
      <c r="I357" s="64"/>
    </row>
    <row r="358" spans="2:9" s="67" customFormat="1" ht="14.25">
      <c r="B358" s="67" t="s">
        <v>340</v>
      </c>
      <c r="C358" s="67" t="s">
        <v>341</v>
      </c>
      <c r="D358" s="67" t="s">
        <v>12</v>
      </c>
      <c r="E358" s="67">
        <v>1</v>
      </c>
      <c r="F358" s="68">
        <f>TRUNC(0.98,2)</f>
        <v>0.98</v>
      </c>
      <c r="G358" s="63">
        <f>TRUNC(E358*F358,2)</f>
        <v>0.98</v>
      </c>
      <c r="H358" s="63"/>
      <c r="I358" s="64"/>
    </row>
    <row r="359" spans="2:9" s="67" customFormat="1" ht="28.5">
      <c r="B359" s="67" t="s">
        <v>81</v>
      </c>
      <c r="C359" s="67" t="s">
        <v>82</v>
      </c>
      <c r="D359" s="67" t="s">
        <v>6</v>
      </c>
      <c r="E359" s="67">
        <v>0.2472</v>
      </c>
      <c r="F359" s="68">
        <f>TRUNC(18.05,2)</f>
        <v>18.05</v>
      </c>
      <c r="G359" s="63">
        <f>TRUNC(E359*F359,2)</f>
        <v>4.46</v>
      </c>
      <c r="H359" s="63"/>
      <c r="I359" s="64"/>
    </row>
    <row r="360" spans="5:9" s="67" customFormat="1" ht="14.25">
      <c r="E360" s="67" t="s">
        <v>7</v>
      </c>
      <c r="F360" s="68"/>
      <c r="G360" s="63">
        <f>TRUNC(SUM(G356:G359),2)</f>
        <v>5.5</v>
      </c>
      <c r="H360" s="63"/>
      <c r="I360" s="64"/>
    </row>
    <row r="361" spans="1:9" s="99" customFormat="1" ht="28.5">
      <c r="A361" s="99" t="s">
        <v>654</v>
      </c>
      <c r="B361" s="105" t="s">
        <v>764</v>
      </c>
      <c r="C361" s="99" t="s">
        <v>668</v>
      </c>
      <c r="D361" s="99" t="s">
        <v>12</v>
      </c>
      <c r="E361" s="99">
        <v>4</v>
      </c>
      <c r="F361" s="100">
        <f>TRUNC(G362+G368,2)</f>
        <v>166.14</v>
      </c>
      <c r="G361" s="101">
        <f>TRUNC(F361*1.2977,2)</f>
        <v>215.59</v>
      </c>
      <c r="H361" s="101">
        <f>TRUNC(F361*E361,2)</f>
        <v>664.56</v>
      </c>
      <c r="I361" s="102">
        <f>TRUNC(E361*G361,2)</f>
        <v>862.36</v>
      </c>
    </row>
    <row r="362" spans="2:9" s="67" customFormat="1" ht="42.75">
      <c r="B362" s="67" t="s">
        <v>691</v>
      </c>
      <c r="C362" s="67" t="s">
        <v>660</v>
      </c>
      <c r="D362" s="67" t="s">
        <v>12</v>
      </c>
      <c r="E362" s="67">
        <v>1</v>
      </c>
      <c r="F362" s="68">
        <f>TRUNC(G367,2)</f>
        <v>7.06</v>
      </c>
      <c r="G362" s="63">
        <f>TRUNC(E362*F362,2)</f>
        <v>7.06</v>
      </c>
      <c r="H362" s="63"/>
      <c r="I362" s="64"/>
    </row>
    <row r="363" spans="2:9" s="67" customFormat="1" ht="28.5">
      <c r="B363" s="67" t="s">
        <v>661</v>
      </c>
      <c r="C363" s="67" t="s">
        <v>662</v>
      </c>
      <c r="D363" s="67" t="s">
        <v>5</v>
      </c>
      <c r="E363" s="67">
        <v>0.04</v>
      </c>
      <c r="F363" s="68">
        <f>TRUNC(12.3,2)</f>
        <v>12.3</v>
      </c>
      <c r="G363" s="63">
        <f>TRUNC(E363*F363,2)</f>
        <v>0.49</v>
      </c>
      <c r="H363" s="63"/>
      <c r="I363" s="64"/>
    </row>
    <row r="364" spans="2:9" s="67" customFormat="1" ht="28.5">
      <c r="B364" s="67" t="s">
        <v>692</v>
      </c>
      <c r="C364" s="67" t="s">
        <v>693</v>
      </c>
      <c r="D364" s="67" t="s">
        <v>6</v>
      </c>
      <c r="E364" s="67">
        <v>0.1854</v>
      </c>
      <c r="F364" s="68">
        <f>TRUNC(19.43,2)</f>
        <v>19.43</v>
      </c>
      <c r="G364" s="63">
        <f>TRUNC(E364*F364,2)</f>
        <v>3.6</v>
      </c>
      <c r="H364" s="63"/>
      <c r="I364" s="64"/>
    </row>
    <row r="365" spans="2:9" s="67" customFormat="1" ht="14.25">
      <c r="B365" s="67" t="s">
        <v>694</v>
      </c>
      <c r="C365" s="67" t="s">
        <v>695</v>
      </c>
      <c r="D365" s="67" t="s">
        <v>6</v>
      </c>
      <c r="E365" s="67">
        <v>0.1545</v>
      </c>
      <c r="F365" s="68">
        <f>TRUNC(13.76,2)</f>
        <v>13.76</v>
      </c>
      <c r="G365" s="63">
        <f>TRUNC(E365*F365,2)</f>
        <v>2.12</v>
      </c>
      <c r="H365" s="63"/>
      <c r="I365" s="64"/>
    </row>
    <row r="366" spans="2:9" s="67" customFormat="1" ht="14.25">
      <c r="B366" s="67" t="s">
        <v>696</v>
      </c>
      <c r="C366" s="67" t="s">
        <v>697</v>
      </c>
      <c r="D366" s="67" t="s">
        <v>6</v>
      </c>
      <c r="E366" s="67">
        <v>0.05</v>
      </c>
      <c r="F366" s="68">
        <f>TRUNC(17.1332,2)</f>
        <v>17.13</v>
      </c>
      <c r="G366" s="63">
        <f>TRUNC(E366*F366,2)</f>
        <v>0.85</v>
      </c>
      <c r="H366" s="63"/>
      <c r="I366" s="64"/>
    </row>
    <row r="367" spans="5:9" s="67" customFormat="1" ht="14.25">
      <c r="E367" s="67" t="s">
        <v>7</v>
      </c>
      <c r="F367" s="68"/>
      <c r="G367" s="63">
        <f>TRUNC(SUM(G363:G366),2)</f>
        <v>7.06</v>
      </c>
      <c r="H367" s="63"/>
      <c r="I367" s="64"/>
    </row>
    <row r="368" spans="2:9" s="67" customFormat="1" ht="14.25">
      <c r="B368" s="67" t="s">
        <v>761</v>
      </c>
      <c r="C368" s="67" t="s">
        <v>665</v>
      </c>
      <c r="D368" s="67" t="s">
        <v>12</v>
      </c>
      <c r="E368" s="67">
        <v>1</v>
      </c>
      <c r="F368" s="68">
        <f>TRUNC(G373,2)</f>
        <v>159.08</v>
      </c>
      <c r="G368" s="63">
        <f>TRUNC(E368*F368,2)</f>
        <v>159.08</v>
      </c>
      <c r="H368" s="63"/>
      <c r="I368" s="64"/>
    </row>
    <row r="369" spans="2:9" s="67" customFormat="1" ht="14.25">
      <c r="B369" s="67" t="s">
        <v>762</v>
      </c>
      <c r="C369" s="67" t="s">
        <v>666</v>
      </c>
      <c r="D369" s="67" t="s">
        <v>12</v>
      </c>
      <c r="E369" s="67">
        <v>3</v>
      </c>
      <c r="F369" s="68">
        <f>TRUNC(50.5,2)</f>
        <v>50.5</v>
      </c>
      <c r="G369" s="63">
        <f>TRUNC(E369*F369,2)</f>
        <v>151.5</v>
      </c>
      <c r="H369" s="63"/>
      <c r="I369" s="64"/>
    </row>
    <row r="370" spans="2:9" s="67" customFormat="1" ht="14.25">
      <c r="B370" s="67" t="s">
        <v>763</v>
      </c>
      <c r="C370" s="67" t="s">
        <v>667</v>
      </c>
      <c r="D370" s="67" t="s">
        <v>12</v>
      </c>
      <c r="E370" s="67">
        <v>1</v>
      </c>
      <c r="F370" s="68">
        <f>TRUNC(2.06,2)</f>
        <v>2.06</v>
      </c>
      <c r="G370" s="63">
        <f>TRUNC(E370*F370,2)</f>
        <v>2.06</v>
      </c>
      <c r="H370" s="63"/>
      <c r="I370" s="64"/>
    </row>
    <row r="371" spans="2:9" s="67" customFormat="1" ht="14.25">
      <c r="B371" s="67" t="s">
        <v>723</v>
      </c>
      <c r="C371" s="67" t="s">
        <v>296</v>
      </c>
      <c r="D371" s="67" t="s">
        <v>6</v>
      </c>
      <c r="E371" s="67">
        <v>0.1655</v>
      </c>
      <c r="F371" s="68">
        <f>TRUNC(25.17,2)</f>
        <v>25.17</v>
      </c>
      <c r="G371" s="63">
        <f>TRUNC(E371*F371,2)</f>
        <v>4.16</v>
      </c>
      <c r="H371" s="63"/>
      <c r="I371" s="64"/>
    </row>
    <row r="372" spans="2:9" s="67" customFormat="1" ht="14.25">
      <c r="B372" s="67" t="s">
        <v>751</v>
      </c>
      <c r="C372" s="67" t="s">
        <v>297</v>
      </c>
      <c r="D372" s="67" t="s">
        <v>6</v>
      </c>
      <c r="E372" s="67">
        <v>0.069</v>
      </c>
      <c r="F372" s="68">
        <f>TRUNC(19.77,2)</f>
        <v>19.77</v>
      </c>
      <c r="G372" s="63">
        <f>TRUNC(E372*F372,2)</f>
        <v>1.36</v>
      </c>
      <c r="H372" s="63"/>
      <c r="I372" s="64"/>
    </row>
    <row r="373" spans="5:9" s="67" customFormat="1" ht="14.25">
      <c r="E373" s="67" t="s">
        <v>7</v>
      </c>
      <c r="F373" s="68"/>
      <c r="G373" s="63">
        <f>TRUNC(SUM(G369:G372),2)</f>
        <v>159.08</v>
      </c>
      <c r="H373" s="63"/>
      <c r="I373" s="64"/>
    </row>
    <row r="374" spans="1:9" s="44" customFormat="1" ht="15.75">
      <c r="A374" s="53" t="s">
        <v>53</v>
      </c>
      <c r="B374" s="55"/>
      <c r="C374" s="54"/>
      <c r="D374" s="55"/>
      <c r="E374" s="55"/>
      <c r="F374" s="55" t="s">
        <v>495</v>
      </c>
      <c r="G374" s="55"/>
      <c r="H374" s="56">
        <f>H341+H336+H330+H324+H319+H300+H294+H289+H284+H279+H275+H272+H269+H347+H355+H361</f>
        <v>6350.6900000000005</v>
      </c>
      <c r="I374" s="56">
        <f>I341+I336+I330+I324+I319+I300+I294+I289+I284+I279+I275+I272+I269+I347+I355+I361</f>
        <v>8240.74</v>
      </c>
    </row>
    <row r="375" spans="1:9" s="43" customFormat="1" ht="15.75">
      <c r="A375" s="43" t="s">
        <v>24</v>
      </c>
      <c r="B375" s="51"/>
      <c r="C375" s="52" t="s">
        <v>69</v>
      </c>
      <c r="D375" s="52"/>
      <c r="E375" s="52"/>
      <c r="F375" s="52"/>
      <c r="G375" s="52"/>
      <c r="H375" s="52"/>
      <c r="I375" s="50"/>
    </row>
    <row r="376" spans="1:9" s="99" customFormat="1" ht="28.5">
      <c r="A376" s="99" t="s">
        <v>238</v>
      </c>
      <c r="B376" s="99" t="s">
        <v>93</v>
      </c>
      <c r="C376" s="99" t="s">
        <v>94</v>
      </c>
      <c r="D376" s="99" t="s">
        <v>16</v>
      </c>
      <c r="E376" s="99">
        <v>1</v>
      </c>
      <c r="F376" s="100">
        <f>TRUNC(1963.5,2)</f>
        <v>1963.5</v>
      </c>
      <c r="G376" s="101">
        <f>TRUNC(F376*1.2977,2)</f>
        <v>2548.03</v>
      </c>
      <c r="H376" s="101">
        <f>TRUNC(F376*E376,2)</f>
        <v>1963.5</v>
      </c>
      <c r="I376" s="102">
        <f>TRUNC(E376*G376,2)</f>
        <v>2548.03</v>
      </c>
    </row>
    <row r="377" spans="2:9" s="67" customFormat="1" ht="14.25">
      <c r="B377" s="67" t="s">
        <v>61</v>
      </c>
      <c r="C377" s="67" t="s">
        <v>95</v>
      </c>
      <c r="D377" s="67" t="s">
        <v>12</v>
      </c>
      <c r="E377" s="67">
        <v>1</v>
      </c>
      <c r="F377" s="68">
        <f>TRUNC(1963.5,2)</f>
        <v>1963.5</v>
      </c>
      <c r="G377" s="63">
        <f>TRUNC(E377*F377,2)</f>
        <v>1963.5</v>
      </c>
      <c r="H377" s="63"/>
      <c r="I377" s="64"/>
    </row>
    <row r="378" spans="5:9" s="67" customFormat="1" ht="14.25">
      <c r="E378" s="67" t="s">
        <v>7</v>
      </c>
      <c r="F378" s="68"/>
      <c r="G378" s="63">
        <f>TRUNC(SUM(G377:G377),2)</f>
        <v>1963.5</v>
      </c>
      <c r="H378" s="63"/>
      <c r="I378" s="64"/>
    </row>
    <row r="379" spans="1:9" s="99" customFormat="1" ht="14.25">
      <c r="A379" s="99" t="s">
        <v>239</v>
      </c>
      <c r="B379" s="99" t="s">
        <v>96</v>
      </c>
      <c r="C379" s="99" t="s">
        <v>97</v>
      </c>
      <c r="D379" s="99" t="s">
        <v>16</v>
      </c>
      <c r="E379" s="99">
        <v>1</v>
      </c>
      <c r="F379" s="100">
        <f>TRUNC(61.35,2)</f>
        <v>61.35</v>
      </c>
      <c r="G379" s="101">
        <f>TRUNC(F379*1.2977,2)</f>
        <v>79.61</v>
      </c>
      <c r="H379" s="101">
        <f>TRUNC(F379*E379,2)</f>
        <v>61.35</v>
      </c>
      <c r="I379" s="102">
        <f>TRUNC(E379*G379,2)</f>
        <v>79.61</v>
      </c>
    </row>
    <row r="380" spans="2:9" s="67" customFormat="1" ht="14.25">
      <c r="B380" s="67" t="s">
        <v>17</v>
      </c>
      <c r="C380" s="67" t="s">
        <v>98</v>
      </c>
      <c r="D380" s="67" t="s">
        <v>12</v>
      </c>
      <c r="E380" s="67">
        <v>1</v>
      </c>
      <c r="F380" s="68">
        <f>TRUNC(61.35,2)</f>
        <v>61.35</v>
      </c>
      <c r="G380" s="63">
        <f>TRUNC(E380*F380,2)</f>
        <v>61.35</v>
      </c>
      <c r="H380" s="63"/>
      <c r="I380" s="64"/>
    </row>
    <row r="381" spans="5:9" s="67" customFormat="1" ht="14.25">
      <c r="E381" s="67" t="s">
        <v>7</v>
      </c>
      <c r="F381" s="68"/>
      <c r="G381" s="63">
        <f>TRUNC(SUM(G380:G380),2)</f>
        <v>61.35</v>
      </c>
      <c r="H381" s="63"/>
      <c r="I381" s="64"/>
    </row>
    <row r="382" spans="1:9" s="99" customFormat="1" ht="71.25">
      <c r="A382" s="99" t="s">
        <v>638</v>
      </c>
      <c r="B382" s="99" t="s">
        <v>628</v>
      </c>
      <c r="C382" s="99" t="s">
        <v>593</v>
      </c>
      <c r="D382" s="99" t="s">
        <v>12</v>
      </c>
      <c r="E382" s="99">
        <v>1</v>
      </c>
      <c r="F382" s="100">
        <f>TRUNC(G408,2)</f>
        <v>1859.2</v>
      </c>
      <c r="G382" s="101">
        <f>TRUNC(F382*1.2977,2)</f>
        <v>2412.68</v>
      </c>
      <c r="H382" s="101">
        <f>TRUNC(F382*E382,2)</f>
        <v>1859.2</v>
      </c>
      <c r="I382" s="102">
        <f>TRUNC(E382*G382,2)</f>
        <v>2412.68</v>
      </c>
    </row>
    <row r="383" spans="2:9" s="67" customFormat="1" ht="14.25">
      <c r="B383" s="67" t="s">
        <v>584</v>
      </c>
      <c r="C383" s="67" t="s">
        <v>585</v>
      </c>
      <c r="D383" s="67" t="s">
        <v>3</v>
      </c>
      <c r="E383" s="67">
        <v>8.712</v>
      </c>
      <c r="F383" s="68">
        <f>TRUNC(29.1105,2)</f>
        <v>29.11</v>
      </c>
      <c r="G383" s="63">
        <f aca="true" t="shared" si="13" ref="G383:G407">TRUNC(E383*F383,2)</f>
        <v>253.6</v>
      </c>
      <c r="H383" s="63"/>
      <c r="I383" s="64"/>
    </row>
    <row r="384" spans="2:9" s="67" customFormat="1" ht="14.25">
      <c r="B384" s="67" t="s">
        <v>50</v>
      </c>
      <c r="C384" s="67" t="s">
        <v>92</v>
      </c>
      <c r="D384" s="67" t="s">
        <v>49</v>
      </c>
      <c r="E384" s="67">
        <v>0.25</v>
      </c>
      <c r="F384" s="68">
        <f>TRUNC(57.05,2)</f>
        <v>57.05</v>
      </c>
      <c r="G384" s="63">
        <f t="shared" si="13"/>
        <v>14.26</v>
      </c>
      <c r="H384" s="63"/>
      <c r="I384" s="64"/>
    </row>
    <row r="385" spans="2:9" s="67" customFormat="1" ht="14.25">
      <c r="B385" s="67" t="s">
        <v>560</v>
      </c>
      <c r="C385" s="67" t="s">
        <v>561</v>
      </c>
      <c r="D385" s="67" t="s">
        <v>49</v>
      </c>
      <c r="E385" s="67">
        <v>0.09</v>
      </c>
      <c r="F385" s="68">
        <f>TRUNC(54.62,2)</f>
        <v>54.62</v>
      </c>
      <c r="G385" s="63">
        <f t="shared" si="13"/>
        <v>4.91</v>
      </c>
      <c r="H385" s="63"/>
      <c r="I385" s="64"/>
    </row>
    <row r="386" spans="2:9" s="67" customFormat="1" ht="14.25">
      <c r="B386" s="67" t="s">
        <v>166</v>
      </c>
      <c r="C386" s="67" t="s">
        <v>414</v>
      </c>
      <c r="D386" s="67" t="s">
        <v>3</v>
      </c>
      <c r="E386" s="67">
        <v>3.8639999999999994</v>
      </c>
      <c r="F386" s="68">
        <f>TRUNC(51.7,2)</f>
        <v>51.7</v>
      </c>
      <c r="G386" s="63">
        <f t="shared" si="13"/>
        <v>199.76</v>
      </c>
      <c r="H386" s="63"/>
      <c r="I386" s="64"/>
    </row>
    <row r="387" spans="2:9" s="67" customFormat="1" ht="14.25">
      <c r="B387" s="67" t="s">
        <v>594</v>
      </c>
      <c r="C387" s="67" t="s">
        <v>595</v>
      </c>
      <c r="D387" s="67" t="s">
        <v>3</v>
      </c>
      <c r="E387" s="67">
        <v>1.5456</v>
      </c>
      <c r="F387" s="68">
        <f>TRUNC(62.796,2)</f>
        <v>62.79</v>
      </c>
      <c r="G387" s="63">
        <f t="shared" si="13"/>
        <v>97.04</v>
      </c>
      <c r="H387" s="63"/>
      <c r="I387" s="64"/>
    </row>
    <row r="388" spans="2:9" s="67" customFormat="1" ht="14.25">
      <c r="B388" s="67" t="s">
        <v>562</v>
      </c>
      <c r="C388" s="67" t="s">
        <v>563</v>
      </c>
      <c r="D388" s="67" t="s">
        <v>49</v>
      </c>
      <c r="E388" s="67">
        <v>0.41</v>
      </c>
      <c r="F388" s="68">
        <f>TRUNC(35.28,2)</f>
        <v>35.28</v>
      </c>
      <c r="G388" s="63">
        <f t="shared" si="13"/>
        <v>14.46</v>
      </c>
      <c r="H388" s="63"/>
      <c r="I388" s="64"/>
    </row>
    <row r="389" spans="2:9" s="67" customFormat="1" ht="14.25">
      <c r="B389" s="67" t="s">
        <v>566</v>
      </c>
      <c r="C389" s="67" t="s">
        <v>567</v>
      </c>
      <c r="D389" s="67" t="s">
        <v>49</v>
      </c>
      <c r="E389" s="67">
        <v>0.12</v>
      </c>
      <c r="F389" s="68">
        <f>TRUNC(54.62,2)</f>
        <v>54.62</v>
      </c>
      <c r="G389" s="63">
        <f t="shared" si="13"/>
        <v>6.55</v>
      </c>
      <c r="H389" s="63"/>
      <c r="I389" s="64"/>
    </row>
    <row r="390" spans="2:9" s="67" customFormat="1" ht="14.25">
      <c r="B390" s="67" t="s">
        <v>558</v>
      </c>
      <c r="C390" s="67" t="s">
        <v>559</v>
      </c>
      <c r="D390" s="67" t="s">
        <v>49</v>
      </c>
      <c r="E390" s="67">
        <v>0.06</v>
      </c>
      <c r="F390" s="68">
        <f>TRUNC(63.73,2)</f>
        <v>63.73</v>
      </c>
      <c r="G390" s="63">
        <f t="shared" si="13"/>
        <v>3.82</v>
      </c>
      <c r="H390" s="63"/>
      <c r="I390" s="64"/>
    </row>
    <row r="391" spans="2:9" s="67" customFormat="1" ht="14.25">
      <c r="B391" s="67" t="s">
        <v>568</v>
      </c>
      <c r="C391" s="67" t="s">
        <v>569</v>
      </c>
      <c r="D391" s="67" t="s">
        <v>5</v>
      </c>
      <c r="E391" s="67">
        <v>3.2648499999999996</v>
      </c>
      <c r="F391" s="68">
        <f>TRUNC(4.6561,2)</f>
        <v>4.65</v>
      </c>
      <c r="G391" s="63">
        <f t="shared" si="13"/>
        <v>15.18</v>
      </c>
      <c r="H391" s="63"/>
      <c r="I391" s="64"/>
    </row>
    <row r="392" spans="2:9" s="67" customFormat="1" ht="14.25">
      <c r="B392" s="67" t="s">
        <v>574</v>
      </c>
      <c r="C392" s="67" t="s">
        <v>575</v>
      </c>
      <c r="D392" s="67" t="s">
        <v>5</v>
      </c>
      <c r="E392" s="67">
        <v>10.2235</v>
      </c>
      <c r="F392" s="68">
        <f>TRUNC(4.6368,2)</f>
        <v>4.63</v>
      </c>
      <c r="G392" s="63">
        <f t="shared" si="13"/>
        <v>47.33</v>
      </c>
      <c r="H392" s="63"/>
      <c r="I392" s="64"/>
    </row>
    <row r="393" spans="2:9" s="67" customFormat="1" ht="14.25">
      <c r="B393" s="67" t="s">
        <v>570</v>
      </c>
      <c r="C393" s="67" t="s">
        <v>571</v>
      </c>
      <c r="D393" s="67" t="s">
        <v>5</v>
      </c>
      <c r="E393" s="67">
        <v>4.944999999999999</v>
      </c>
      <c r="F393" s="68">
        <f>TRUNC(4.9942,2)</f>
        <v>4.99</v>
      </c>
      <c r="G393" s="63">
        <f t="shared" si="13"/>
        <v>24.67</v>
      </c>
      <c r="H393" s="63"/>
      <c r="I393" s="64"/>
    </row>
    <row r="394" spans="2:9" s="67" customFormat="1" ht="14.25">
      <c r="B394" s="67" t="s">
        <v>564</v>
      </c>
      <c r="C394" s="67" t="s">
        <v>565</v>
      </c>
      <c r="D394" s="67" t="s">
        <v>5</v>
      </c>
      <c r="E394" s="67">
        <v>5.313</v>
      </c>
      <c r="F394" s="68">
        <f>TRUNC(4.1899,2)</f>
        <v>4.18</v>
      </c>
      <c r="G394" s="63">
        <f t="shared" si="13"/>
        <v>22.2</v>
      </c>
      <c r="H394" s="63"/>
      <c r="I394" s="64"/>
    </row>
    <row r="395" spans="2:9" s="67" customFormat="1" ht="14.25">
      <c r="B395" s="67" t="s">
        <v>578</v>
      </c>
      <c r="C395" s="67" t="s">
        <v>579</v>
      </c>
      <c r="D395" s="67" t="s">
        <v>12</v>
      </c>
      <c r="E395" s="67">
        <v>12</v>
      </c>
      <c r="F395" s="68">
        <f>TRUNC(0.06,2)</f>
        <v>0.06</v>
      </c>
      <c r="G395" s="63">
        <f t="shared" si="13"/>
        <v>0.72</v>
      </c>
      <c r="H395" s="63"/>
      <c r="I395" s="64"/>
    </row>
    <row r="396" spans="2:9" s="67" customFormat="1" ht="14.25">
      <c r="B396" s="67" t="s">
        <v>586</v>
      </c>
      <c r="C396" s="67" t="s">
        <v>587</v>
      </c>
      <c r="D396" s="67" t="s">
        <v>12</v>
      </c>
      <c r="E396" s="67">
        <v>12</v>
      </c>
      <c r="F396" s="68">
        <f>TRUNC(0.43,2)</f>
        <v>0.43</v>
      </c>
      <c r="G396" s="63">
        <f t="shared" si="13"/>
        <v>5.16</v>
      </c>
      <c r="H396" s="63"/>
      <c r="I396" s="64"/>
    </row>
    <row r="397" spans="2:9" s="67" customFormat="1" ht="14.25">
      <c r="B397" s="67" t="s">
        <v>582</v>
      </c>
      <c r="C397" s="67" t="s">
        <v>583</v>
      </c>
      <c r="D397" s="67" t="s">
        <v>12</v>
      </c>
      <c r="E397" s="67">
        <v>4</v>
      </c>
      <c r="F397" s="68">
        <f>TRUNC(11,2)</f>
        <v>11</v>
      </c>
      <c r="G397" s="63">
        <f t="shared" si="13"/>
        <v>44</v>
      </c>
      <c r="H397" s="63"/>
      <c r="I397" s="64"/>
    </row>
    <row r="398" spans="2:9" s="67" customFormat="1" ht="14.25">
      <c r="B398" s="67" t="s">
        <v>580</v>
      </c>
      <c r="C398" s="67" t="s">
        <v>581</v>
      </c>
      <c r="D398" s="67" t="s">
        <v>12</v>
      </c>
      <c r="E398" s="67">
        <v>12</v>
      </c>
      <c r="F398" s="68">
        <f>TRUNC(0.14,2)</f>
        <v>0.14</v>
      </c>
      <c r="G398" s="63">
        <f t="shared" si="13"/>
        <v>1.68</v>
      </c>
      <c r="H398" s="63"/>
      <c r="I398" s="64"/>
    </row>
    <row r="399" spans="2:9" s="67" customFormat="1" ht="14.25">
      <c r="B399" s="67" t="s">
        <v>576</v>
      </c>
      <c r="C399" s="67" t="s">
        <v>577</v>
      </c>
      <c r="D399" s="67" t="s">
        <v>12</v>
      </c>
      <c r="E399" s="67">
        <v>16</v>
      </c>
      <c r="F399" s="68">
        <f>TRUNC(0.24,2)</f>
        <v>0.24</v>
      </c>
      <c r="G399" s="63">
        <f t="shared" si="13"/>
        <v>3.84</v>
      </c>
      <c r="H399" s="63"/>
      <c r="I399" s="64"/>
    </row>
    <row r="400" spans="2:9" s="67" customFormat="1" ht="14.25">
      <c r="B400" s="67" t="s">
        <v>572</v>
      </c>
      <c r="C400" s="67" t="s">
        <v>573</v>
      </c>
      <c r="D400" s="67" t="s">
        <v>5</v>
      </c>
      <c r="E400" s="67">
        <v>19.43385</v>
      </c>
      <c r="F400" s="68">
        <f>TRUNC(4.3137,2)</f>
        <v>4.31</v>
      </c>
      <c r="G400" s="63">
        <f t="shared" si="13"/>
        <v>83.75</v>
      </c>
      <c r="H400" s="63"/>
      <c r="I400" s="64"/>
    </row>
    <row r="401" spans="2:9" s="67" customFormat="1" ht="28.5">
      <c r="B401" s="67" t="s">
        <v>74</v>
      </c>
      <c r="C401" s="67" t="s">
        <v>75</v>
      </c>
      <c r="D401" s="67" t="s">
        <v>6</v>
      </c>
      <c r="E401" s="67">
        <v>12.36</v>
      </c>
      <c r="F401" s="68">
        <f>TRUNC(19.43,2)</f>
        <v>19.43</v>
      </c>
      <c r="G401" s="63">
        <f t="shared" si="13"/>
        <v>240.15</v>
      </c>
      <c r="H401" s="63"/>
      <c r="I401" s="64"/>
    </row>
    <row r="402" spans="2:9" s="67" customFormat="1" ht="14.25">
      <c r="B402" s="67" t="s">
        <v>671</v>
      </c>
      <c r="C402" s="67" t="s">
        <v>672</v>
      </c>
      <c r="D402" s="67" t="s">
        <v>6</v>
      </c>
      <c r="E402" s="67">
        <v>3.3577999999999997</v>
      </c>
      <c r="F402" s="68">
        <f>TRUNC(18.05,2)</f>
        <v>18.05</v>
      </c>
      <c r="G402" s="63">
        <f t="shared" si="13"/>
        <v>60.6</v>
      </c>
      <c r="H402" s="63"/>
      <c r="I402" s="64"/>
    </row>
    <row r="403" spans="2:9" s="67" customFormat="1" ht="28.5">
      <c r="B403" s="67" t="s">
        <v>669</v>
      </c>
      <c r="C403" s="67" t="s">
        <v>670</v>
      </c>
      <c r="D403" s="67" t="s">
        <v>6</v>
      </c>
      <c r="E403" s="67">
        <v>12.36</v>
      </c>
      <c r="F403" s="68">
        <f>TRUNC(19.43,2)</f>
        <v>19.43</v>
      </c>
      <c r="G403" s="63">
        <f t="shared" si="13"/>
        <v>240.15</v>
      </c>
      <c r="H403" s="63"/>
      <c r="I403" s="64"/>
    </row>
    <row r="404" spans="2:9" s="67" customFormat="1" ht="28.5">
      <c r="B404" s="67" t="s">
        <v>72</v>
      </c>
      <c r="C404" s="67" t="s">
        <v>73</v>
      </c>
      <c r="D404" s="67" t="s">
        <v>6</v>
      </c>
      <c r="E404" s="67">
        <v>34.6183</v>
      </c>
      <c r="F404" s="68">
        <f>TRUNC(13.08,2)</f>
        <v>13.08</v>
      </c>
      <c r="G404" s="63">
        <f t="shared" si="13"/>
        <v>452.8</v>
      </c>
      <c r="H404" s="63"/>
      <c r="I404" s="64"/>
    </row>
    <row r="405" spans="2:9" s="67" customFormat="1" ht="14.25">
      <c r="B405" s="67" t="s">
        <v>698</v>
      </c>
      <c r="C405" s="67" t="s">
        <v>699</v>
      </c>
      <c r="D405" s="67" t="s">
        <v>1</v>
      </c>
      <c r="E405" s="67">
        <v>0.064</v>
      </c>
      <c r="F405" s="68">
        <f>TRUNC(71.2006,2)</f>
        <v>71.2</v>
      </c>
      <c r="G405" s="63">
        <f t="shared" si="13"/>
        <v>4.55</v>
      </c>
      <c r="H405" s="63"/>
      <c r="I405" s="64"/>
    </row>
    <row r="406" spans="2:9" s="67" customFormat="1" ht="14.25">
      <c r="B406" s="67" t="s">
        <v>361</v>
      </c>
      <c r="C406" s="67" t="s">
        <v>362</v>
      </c>
      <c r="D406" s="67" t="s">
        <v>1</v>
      </c>
      <c r="E406" s="67">
        <v>0.064</v>
      </c>
      <c r="F406" s="68">
        <f>TRUNC(192.4416,2)</f>
        <v>192.44</v>
      </c>
      <c r="G406" s="63">
        <f t="shared" si="13"/>
        <v>12.31</v>
      </c>
      <c r="H406" s="63"/>
      <c r="I406" s="64"/>
    </row>
    <row r="407" spans="2:9" s="67" customFormat="1" ht="14.25">
      <c r="B407" s="67" t="s">
        <v>700</v>
      </c>
      <c r="C407" s="67" t="s">
        <v>701</v>
      </c>
      <c r="D407" s="67" t="s">
        <v>1</v>
      </c>
      <c r="E407" s="67">
        <v>0.064</v>
      </c>
      <c r="F407" s="68">
        <f>TRUNC(89.3334,2)</f>
        <v>89.33</v>
      </c>
      <c r="G407" s="63">
        <f t="shared" si="13"/>
        <v>5.71</v>
      </c>
      <c r="H407" s="63"/>
      <c r="I407" s="64"/>
    </row>
    <row r="408" spans="5:9" s="67" customFormat="1" ht="14.25">
      <c r="E408" s="67" t="s">
        <v>7</v>
      </c>
      <c r="F408" s="68"/>
      <c r="G408" s="63">
        <f>TRUNC(SUM(G383:G407),2)</f>
        <v>1859.2</v>
      </c>
      <c r="H408" s="63"/>
      <c r="I408" s="64"/>
    </row>
    <row r="409" spans="1:9" s="99" customFormat="1" ht="57">
      <c r="A409" s="99" t="s">
        <v>639</v>
      </c>
      <c r="B409" s="99" t="s">
        <v>629</v>
      </c>
      <c r="C409" s="99" t="s">
        <v>557</v>
      </c>
      <c r="D409" s="99" t="s">
        <v>12</v>
      </c>
      <c r="E409" s="99">
        <v>1</v>
      </c>
      <c r="F409" s="100">
        <f>TRUNC(G434,2)</f>
        <v>1489.28</v>
      </c>
      <c r="G409" s="101">
        <f>TRUNC(F409*1.2977,2)</f>
        <v>1932.63</v>
      </c>
      <c r="H409" s="101">
        <f>TRUNC(F409*E409,2)</f>
        <v>1489.28</v>
      </c>
      <c r="I409" s="102">
        <f>TRUNC(E409*G409,2)</f>
        <v>1932.63</v>
      </c>
    </row>
    <row r="410" spans="2:9" s="67" customFormat="1" ht="14.25">
      <c r="B410" s="67" t="s">
        <v>584</v>
      </c>
      <c r="C410" s="67" t="s">
        <v>585</v>
      </c>
      <c r="D410" s="67" t="s">
        <v>3</v>
      </c>
      <c r="E410" s="67">
        <v>3.96</v>
      </c>
      <c r="F410" s="68">
        <f>TRUNC(29.1105,2)</f>
        <v>29.11</v>
      </c>
      <c r="G410" s="63">
        <f aca="true" t="shared" si="14" ref="G410:G433">TRUNC(E410*F410,2)</f>
        <v>115.27</v>
      </c>
      <c r="H410" s="63"/>
      <c r="I410" s="64"/>
    </row>
    <row r="411" spans="2:9" s="67" customFormat="1" ht="14.25">
      <c r="B411" s="67" t="s">
        <v>50</v>
      </c>
      <c r="C411" s="67" t="s">
        <v>92</v>
      </c>
      <c r="D411" s="67" t="s">
        <v>49</v>
      </c>
      <c r="E411" s="67">
        <v>0.147</v>
      </c>
      <c r="F411" s="68">
        <f>TRUNC(57.05,2)</f>
        <v>57.05</v>
      </c>
      <c r="G411" s="63">
        <f t="shared" si="14"/>
        <v>8.38</v>
      </c>
      <c r="H411" s="63"/>
      <c r="I411" s="64"/>
    </row>
    <row r="412" spans="2:9" s="67" customFormat="1" ht="14.25">
      <c r="B412" s="67" t="s">
        <v>560</v>
      </c>
      <c r="C412" s="67" t="s">
        <v>561</v>
      </c>
      <c r="D412" s="67" t="s">
        <v>49</v>
      </c>
      <c r="E412" s="67">
        <v>0.043</v>
      </c>
      <c r="F412" s="68">
        <f>TRUNC(54.62,2)</f>
        <v>54.62</v>
      </c>
      <c r="G412" s="63">
        <f t="shared" si="14"/>
        <v>2.34</v>
      </c>
      <c r="H412" s="63"/>
      <c r="I412" s="64"/>
    </row>
    <row r="413" spans="2:9" s="67" customFormat="1" ht="14.25">
      <c r="B413" s="67" t="s">
        <v>166</v>
      </c>
      <c r="C413" s="67" t="s">
        <v>414</v>
      </c>
      <c r="D413" s="67" t="s">
        <v>3</v>
      </c>
      <c r="E413" s="67">
        <v>4.427499999999999</v>
      </c>
      <c r="F413" s="68">
        <f>TRUNC(51.7,2)</f>
        <v>51.7</v>
      </c>
      <c r="G413" s="63">
        <f t="shared" si="14"/>
        <v>228.9</v>
      </c>
      <c r="H413" s="63"/>
      <c r="I413" s="64"/>
    </row>
    <row r="414" spans="2:9" s="67" customFormat="1" ht="14.25">
      <c r="B414" s="67" t="s">
        <v>562</v>
      </c>
      <c r="C414" s="67" t="s">
        <v>563</v>
      </c>
      <c r="D414" s="67" t="s">
        <v>49</v>
      </c>
      <c r="E414" s="67">
        <v>0.19</v>
      </c>
      <c r="F414" s="68">
        <f>TRUNC(35.28,2)</f>
        <v>35.28</v>
      </c>
      <c r="G414" s="63">
        <f t="shared" si="14"/>
        <v>6.7</v>
      </c>
      <c r="H414" s="63"/>
      <c r="I414" s="64"/>
    </row>
    <row r="415" spans="2:9" s="67" customFormat="1" ht="14.25">
      <c r="B415" s="67" t="s">
        <v>566</v>
      </c>
      <c r="C415" s="67" t="s">
        <v>567</v>
      </c>
      <c r="D415" s="67" t="s">
        <v>49</v>
      </c>
      <c r="E415" s="67">
        <v>0.06</v>
      </c>
      <c r="F415" s="68">
        <f>TRUNC(54.62,2)</f>
        <v>54.62</v>
      </c>
      <c r="G415" s="63">
        <f t="shared" si="14"/>
        <v>3.27</v>
      </c>
      <c r="H415" s="63"/>
      <c r="I415" s="64"/>
    </row>
    <row r="416" spans="2:9" s="67" customFormat="1" ht="14.25">
      <c r="B416" s="67" t="s">
        <v>558</v>
      </c>
      <c r="C416" s="67" t="s">
        <v>559</v>
      </c>
      <c r="D416" s="67" t="s">
        <v>49</v>
      </c>
      <c r="E416" s="67">
        <v>0.044</v>
      </c>
      <c r="F416" s="68">
        <f>TRUNC(63.73,2)</f>
        <v>63.73</v>
      </c>
      <c r="G416" s="63">
        <f t="shared" si="14"/>
        <v>2.8</v>
      </c>
      <c r="H416" s="63"/>
      <c r="I416" s="64"/>
    </row>
    <row r="417" spans="2:9" s="67" customFormat="1" ht="14.25">
      <c r="B417" s="67" t="s">
        <v>568</v>
      </c>
      <c r="C417" s="67" t="s">
        <v>569</v>
      </c>
      <c r="D417" s="67" t="s">
        <v>5</v>
      </c>
      <c r="E417" s="67">
        <v>3.2648499999999996</v>
      </c>
      <c r="F417" s="68">
        <f>TRUNC(4.6561,2)</f>
        <v>4.65</v>
      </c>
      <c r="G417" s="63">
        <f t="shared" si="14"/>
        <v>15.18</v>
      </c>
      <c r="H417" s="63"/>
      <c r="I417" s="64"/>
    </row>
    <row r="418" spans="2:9" s="67" customFormat="1" ht="14.25">
      <c r="B418" s="67" t="s">
        <v>574</v>
      </c>
      <c r="C418" s="67" t="s">
        <v>575</v>
      </c>
      <c r="D418" s="67" t="s">
        <v>5</v>
      </c>
      <c r="E418" s="67">
        <v>9.424249999999999</v>
      </c>
      <c r="F418" s="68">
        <f>TRUNC(4.6368,2)</f>
        <v>4.63</v>
      </c>
      <c r="G418" s="63">
        <f t="shared" si="14"/>
        <v>43.63</v>
      </c>
      <c r="H418" s="63"/>
      <c r="I418" s="64"/>
    </row>
    <row r="419" spans="2:9" s="67" customFormat="1" ht="14.25">
      <c r="B419" s="67" t="s">
        <v>570</v>
      </c>
      <c r="C419" s="67" t="s">
        <v>571</v>
      </c>
      <c r="D419" s="67" t="s">
        <v>5</v>
      </c>
      <c r="E419" s="67">
        <v>1.8882999999999996</v>
      </c>
      <c r="F419" s="68">
        <f>TRUNC(4.9942,2)</f>
        <v>4.99</v>
      </c>
      <c r="G419" s="63">
        <f t="shared" si="14"/>
        <v>9.42</v>
      </c>
      <c r="H419" s="63"/>
      <c r="I419" s="64"/>
    </row>
    <row r="420" spans="2:9" s="67" customFormat="1" ht="14.25">
      <c r="B420" s="67" t="s">
        <v>564</v>
      </c>
      <c r="C420" s="67" t="s">
        <v>565</v>
      </c>
      <c r="D420" s="67" t="s">
        <v>5</v>
      </c>
      <c r="E420" s="67">
        <v>2.231</v>
      </c>
      <c r="F420" s="68">
        <f>TRUNC(4.1899,2)</f>
        <v>4.18</v>
      </c>
      <c r="G420" s="63">
        <f t="shared" si="14"/>
        <v>9.32</v>
      </c>
      <c r="H420" s="63"/>
      <c r="I420" s="64"/>
    </row>
    <row r="421" spans="2:9" s="67" customFormat="1" ht="14.25">
      <c r="B421" s="67" t="s">
        <v>578</v>
      </c>
      <c r="C421" s="67" t="s">
        <v>579</v>
      </c>
      <c r="D421" s="67" t="s">
        <v>12</v>
      </c>
      <c r="E421" s="67">
        <v>12</v>
      </c>
      <c r="F421" s="68">
        <f>TRUNC(0.06,2)</f>
        <v>0.06</v>
      </c>
      <c r="G421" s="63">
        <f t="shared" si="14"/>
        <v>0.72</v>
      </c>
      <c r="H421" s="63"/>
      <c r="I421" s="64"/>
    </row>
    <row r="422" spans="2:9" s="67" customFormat="1" ht="14.25">
      <c r="B422" s="67" t="s">
        <v>586</v>
      </c>
      <c r="C422" s="67" t="s">
        <v>587</v>
      </c>
      <c r="D422" s="67" t="s">
        <v>12</v>
      </c>
      <c r="E422" s="67">
        <v>12</v>
      </c>
      <c r="F422" s="68">
        <f>TRUNC(0.43,2)</f>
        <v>0.43</v>
      </c>
      <c r="G422" s="63">
        <f t="shared" si="14"/>
        <v>5.16</v>
      </c>
      <c r="H422" s="63"/>
      <c r="I422" s="64"/>
    </row>
    <row r="423" spans="2:9" s="67" customFormat="1" ht="14.25">
      <c r="B423" s="67" t="s">
        <v>582</v>
      </c>
      <c r="C423" s="67" t="s">
        <v>583</v>
      </c>
      <c r="D423" s="67" t="s">
        <v>12</v>
      </c>
      <c r="E423" s="67">
        <v>0.062</v>
      </c>
      <c r="F423" s="68">
        <f>TRUNC(11,2)</f>
        <v>11</v>
      </c>
      <c r="G423" s="63">
        <f t="shared" si="14"/>
        <v>0.68</v>
      </c>
      <c r="H423" s="63"/>
      <c r="I423" s="64"/>
    </row>
    <row r="424" spans="2:9" s="67" customFormat="1" ht="14.25">
      <c r="B424" s="67" t="s">
        <v>580</v>
      </c>
      <c r="C424" s="67" t="s">
        <v>581</v>
      </c>
      <c r="D424" s="67" t="s">
        <v>12</v>
      </c>
      <c r="E424" s="67">
        <v>12</v>
      </c>
      <c r="F424" s="68">
        <f>TRUNC(0.14,2)</f>
        <v>0.14</v>
      </c>
      <c r="G424" s="63">
        <f t="shared" si="14"/>
        <v>1.68</v>
      </c>
      <c r="H424" s="63"/>
      <c r="I424" s="64"/>
    </row>
    <row r="425" spans="2:9" s="67" customFormat="1" ht="14.25">
      <c r="B425" s="67" t="s">
        <v>576</v>
      </c>
      <c r="C425" s="67" t="s">
        <v>577</v>
      </c>
      <c r="D425" s="67" t="s">
        <v>12</v>
      </c>
      <c r="E425" s="67">
        <v>16</v>
      </c>
      <c r="F425" s="68">
        <f>TRUNC(0.24,2)</f>
        <v>0.24</v>
      </c>
      <c r="G425" s="63">
        <f t="shared" si="14"/>
        <v>3.84</v>
      </c>
      <c r="H425" s="63"/>
      <c r="I425" s="64"/>
    </row>
    <row r="426" spans="2:9" s="67" customFormat="1" ht="14.25">
      <c r="B426" s="67" t="s">
        <v>572</v>
      </c>
      <c r="C426" s="67" t="s">
        <v>573</v>
      </c>
      <c r="D426" s="67" t="s">
        <v>5</v>
      </c>
      <c r="E426" s="67">
        <v>12.356749999999998</v>
      </c>
      <c r="F426" s="68">
        <f>TRUNC(4.3137,2)</f>
        <v>4.31</v>
      </c>
      <c r="G426" s="63">
        <f t="shared" si="14"/>
        <v>53.25</v>
      </c>
      <c r="H426" s="63"/>
      <c r="I426" s="64"/>
    </row>
    <row r="427" spans="2:9" s="67" customFormat="1" ht="28.5">
      <c r="B427" s="67" t="s">
        <v>74</v>
      </c>
      <c r="C427" s="67" t="s">
        <v>75</v>
      </c>
      <c r="D427" s="67" t="s">
        <v>6</v>
      </c>
      <c r="E427" s="67">
        <v>12.36</v>
      </c>
      <c r="F427" s="68">
        <f>TRUNC(19.43,2)</f>
        <v>19.43</v>
      </c>
      <c r="G427" s="63">
        <f t="shared" si="14"/>
        <v>240.15</v>
      </c>
      <c r="H427" s="63"/>
      <c r="I427" s="64"/>
    </row>
    <row r="428" spans="2:9" s="67" customFormat="1" ht="14.25">
      <c r="B428" s="67" t="s">
        <v>671</v>
      </c>
      <c r="C428" s="67" t="s">
        <v>672</v>
      </c>
      <c r="D428" s="67" t="s">
        <v>6</v>
      </c>
      <c r="E428" s="67">
        <v>1.8231000000000002</v>
      </c>
      <c r="F428" s="68">
        <f>TRUNC(18.05,2)</f>
        <v>18.05</v>
      </c>
      <c r="G428" s="63">
        <f t="shared" si="14"/>
        <v>32.9</v>
      </c>
      <c r="H428" s="63"/>
      <c r="I428" s="64"/>
    </row>
    <row r="429" spans="2:9" s="67" customFormat="1" ht="28.5">
      <c r="B429" s="67" t="s">
        <v>669</v>
      </c>
      <c r="C429" s="67" t="s">
        <v>670</v>
      </c>
      <c r="D429" s="67" t="s">
        <v>6</v>
      </c>
      <c r="E429" s="67">
        <v>12.36</v>
      </c>
      <c r="F429" s="68">
        <f>TRUNC(19.43,2)</f>
        <v>19.43</v>
      </c>
      <c r="G429" s="63">
        <f t="shared" si="14"/>
        <v>240.15</v>
      </c>
      <c r="H429" s="63"/>
      <c r="I429" s="64"/>
    </row>
    <row r="430" spans="2:9" s="67" customFormat="1" ht="28.5">
      <c r="B430" s="67" t="s">
        <v>72</v>
      </c>
      <c r="C430" s="67" t="s">
        <v>73</v>
      </c>
      <c r="D430" s="67" t="s">
        <v>6</v>
      </c>
      <c r="E430" s="67">
        <v>33.866400000000006</v>
      </c>
      <c r="F430" s="68">
        <f>TRUNC(13.08,2)</f>
        <v>13.08</v>
      </c>
      <c r="G430" s="63">
        <f t="shared" si="14"/>
        <v>442.97</v>
      </c>
      <c r="H430" s="63"/>
      <c r="I430" s="64"/>
    </row>
    <row r="431" spans="2:9" s="67" customFormat="1" ht="14.25">
      <c r="B431" s="67" t="s">
        <v>698</v>
      </c>
      <c r="C431" s="67" t="s">
        <v>699</v>
      </c>
      <c r="D431" s="67" t="s">
        <v>1</v>
      </c>
      <c r="E431" s="67">
        <v>0.064</v>
      </c>
      <c r="F431" s="68">
        <f>TRUNC(71.2006,2)</f>
        <v>71.2</v>
      </c>
      <c r="G431" s="63">
        <f t="shared" si="14"/>
        <v>4.55</v>
      </c>
      <c r="H431" s="63"/>
      <c r="I431" s="64"/>
    </row>
    <row r="432" spans="2:9" s="67" customFormat="1" ht="14.25">
      <c r="B432" s="67" t="s">
        <v>361</v>
      </c>
      <c r="C432" s="67" t="s">
        <v>362</v>
      </c>
      <c r="D432" s="67" t="s">
        <v>1</v>
      </c>
      <c r="E432" s="67">
        <v>0.064</v>
      </c>
      <c r="F432" s="68">
        <f>TRUNC(192.4416,2)</f>
        <v>192.44</v>
      </c>
      <c r="G432" s="63">
        <f t="shared" si="14"/>
        <v>12.31</v>
      </c>
      <c r="H432" s="63"/>
      <c r="I432" s="64"/>
    </row>
    <row r="433" spans="2:9" s="67" customFormat="1" ht="14.25">
      <c r="B433" s="67" t="s">
        <v>700</v>
      </c>
      <c r="C433" s="67" t="s">
        <v>701</v>
      </c>
      <c r="D433" s="67" t="s">
        <v>1</v>
      </c>
      <c r="E433" s="67">
        <v>0.064</v>
      </c>
      <c r="F433" s="68">
        <f>TRUNC(89.3334,2)</f>
        <v>89.33</v>
      </c>
      <c r="G433" s="63">
        <f t="shared" si="14"/>
        <v>5.71</v>
      </c>
      <c r="H433" s="63"/>
      <c r="I433" s="64"/>
    </row>
    <row r="434" spans="5:9" s="67" customFormat="1" ht="14.25">
      <c r="E434" s="67" t="s">
        <v>7</v>
      </c>
      <c r="F434" s="68"/>
      <c r="G434" s="63">
        <f>TRUNC(SUM(G410:G433),2)</f>
        <v>1489.28</v>
      </c>
      <c r="H434" s="63"/>
      <c r="I434" s="64"/>
    </row>
    <row r="435" spans="1:9" s="99" customFormat="1" ht="42.75">
      <c r="A435" s="99" t="s">
        <v>640</v>
      </c>
      <c r="B435" s="99" t="s">
        <v>630</v>
      </c>
      <c r="C435" s="99" t="s">
        <v>597</v>
      </c>
      <c r="D435" s="99" t="s">
        <v>12</v>
      </c>
      <c r="E435" s="99">
        <v>2</v>
      </c>
      <c r="F435" s="100">
        <f>TRUNC(G449,2)</f>
        <v>702.61</v>
      </c>
      <c r="G435" s="101">
        <f>TRUNC(F435*1.2977,2)</f>
        <v>911.77</v>
      </c>
      <c r="H435" s="101">
        <f>TRUNC(F435*E435,2)</f>
        <v>1405.22</v>
      </c>
      <c r="I435" s="102">
        <f>TRUNC(E435*G435,2)</f>
        <v>1823.54</v>
      </c>
    </row>
    <row r="436" spans="2:9" s="67" customFormat="1" ht="14.25">
      <c r="B436" s="67" t="s">
        <v>598</v>
      </c>
      <c r="C436" s="67" t="s">
        <v>599</v>
      </c>
      <c r="D436" s="67" t="s">
        <v>12</v>
      </c>
      <c r="E436" s="67">
        <v>14</v>
      </c>
      <c r="F436" s="68">
        <f>TRUNC(0.31,2)</f>
        <v>0.31</v>
      </c>
      <c r="G436" s="63">
        <f aca="true" t="shared" si="15" ref="G436:G448">TRUNC(E436*F436,2)</f>
        <v>4.34</v>
      </c>
      <c r="H436" s="63"/>
      <c r="I436" s="64"/>
    </row>
    <row r="437" spans="2:9" s="67" customFormat="1" ht="14.25">
      <c r="B437" s="67" t="s">
        <v>584</v>
      </c>
      <c r="C437" s="67" t="s">
        <v>585</v>
      </c>
      <c r="D437" s="67" t="s">
        <v>3</v>
      </c>
      <c r="E437" s="67">
        <v>6.36</v>
      </c>
      <c r="F437" s="68">
        <f>TRUNC(29.1105,2)</f>
        <v>29.11</v>
      </c>
      <c r="G437" s="63">
        <f t="shared" si="15"/>
        <v>185.13</v>
      </c>
      <c r="H437" s="63"/>
      <c r="I437" s="64"/>
    </row>
    <row r="438" spans="2:9" s="67" customFormat="1" ht="14.25">
      <c r="B438" s="67" t="s">
        <v>558</v>
      </c>
      <c r="C438" s="67" t="s">
        <v>559</v>
      </c>
      <c r="D438" s="67" t="s">
        <v>49</v>
      </c>
      <c r="E438" s="67">
        <v>1.8</v>
      </c>
      <c r="F438" s="68">
        <f>TRUNC(63.73,2)</f>
        <v>63.73</v>
      </c>
      <c r="G438" s="63">
        <f t="shared" si="15"/>
        <v>114.71</v>
      </c>
      <c r="H438" s="63"/>
      <c r="I438" s="64"/>
    </row>
    <row r="439" spans="2:9" s="67" customFormat="1" ht="14.25">
      <c r="B439" s="67" t="s">
        <v>562</v>
      </c>
      <c r="C439" s="67" t="s">
        <v>563</v>
      </c>
      <c r="D439" s="67" t="s">
        <v>49</v>
      </c>
      <c r="E439" s="67">
        <v>0.085</v>
      </c>
      <c r="F439" s="68">
        <f>TRUNC(35.28,2)</f>
        <v>35.28</v>
      </c>
      <c r="G439" s="63">
        <f t="shared" si="15"/>
        <v>2.99</v>
      </c>
      <c r="H439" s="63"/>
      <c r="I439" s="64"/>
    </row>
    <row r="440" spans="2:9" s="67" customFormat="1" ht="14.25">
      <c r="B440" s="67" t="s">
        <v>560</v>
      </c>
      <c r="C440" s="67" t="s">
        <v>561</v>
      </c>
      <c r="D440" s="67" t="s">
        <v>49</v>
      </c>
      <c r="E440" s="67">
        <v>0.04</v>
      </c>
      <c r="F440" s="68">
        <f>TRUNC(54.62,2)</f>
        <v>54.62</v>
      </c>
      <c r="G440" s="63">
        <f t="shared" si="15"/>
        <v>2.18</v>
      </c>
      <c r="H440" s="63"/>
      <c r="I440" s="64"/>
    </row>
    <row r="441" spans="2:9" s="67" customFormat="1" ht="14.25">
      <c r="B441" s="67" t="s">
        <v>50</v>
      </c>
      <c r="C441" s="67" t="s">
        <v>92</v>
      </c>
      <c r="D441" s="67" t="s">
        <v>49</v>
      </c>
      <c r="E441" s="67">
        <v>3</v>
      </c>
      <c r="F441" s="68">
        <f>TRUNC(57.05,2)</f>
        <v>57.05</v>
      </c>
      <c r="G441" s="63">
        <f t="shared" si="15"/>
        <v>171.15</v>
      </c>
      <c r="H441" s="63"/>
      <c r="I441" s="64"/>
    </row>
    <row r="442" spans="2:9" s="67" customFormat="1" ht="14.25">
      <c r="B442" s="67" t="s">
        <v>564</v>
      </c>
      <c r="C442" s="67" t="s">
        <v>565</v>
      </c>
      <c r="D442" s="67" t="s">
        <v>5</v>
      </c>
      <c r="E442" s="67">
        <v>0.44849999999999995</v>
      </c>
      <c r="F442" s="68">
        <f>TRUNC(4.1899,2)</f>
        <v>4.18</v>
      </c>
      <c r="G442" s="63">
        <f t="shared" si="15"/>
        <v>1.87</v>
      </c>
      <c r="H442" s="63"/>
      <c r="I442" s="64"/>
    </row>
    <row r="443" spans="2:9" s="67" customFormat="1" ht="28.5">
      <c r="B443" s="67" t="s">
        <v>72</v>
      </c>
      <c r="C443" s="67" t="s">
        <v>73</v>
      </c>
      <c r="D443" s="67" t="s">
        <v>6</v>
      </c>
      <c r="E443" s="67">
        <v>3.1621</v>
      </c>
      <c r="F443" s="68">
        <f>TRUNC(13.08,2)</f>
        <v>13.08</v>
      </c>
      <c r="G443" s="63">
        <f t="shared" si="15"/>
        <v>41.36</v>
      </c>
      <c r="H443" s="63"/>
      <c r="I443" s="64"/>
    </row>
    <row r="444" spans="2:9" s="67" customFormat="1" ht="14.25">
      <c r="B444" s="67" t="s">
        <v>671</v>
      </c>
      <c r="C444" s="67" t="s">
        <v>672</v>
      </c>
      <c r="D444" s="67" t="s">
        <v>6</v>
      </c>
      <c r="E444" s="67">
        <v>6.18</v>
      </c>
      <c r="F444" s="68">
        <f>TRUNC(18.05,2)</f>
        <v>18.05</v>
      </c>
      <c r="G444" s="63">
        <f t="shared" si="15"/>
        <v>111.54</v>
      </c>
      <c r="H444" s="63"/>
      <c r="I444" s="64"/>
    </row>
    <row r="445" spans="2:9" s="67" customFormat="1" ht="28.5">
      <c r="B445" s="67" t="s">
        <v>74</v>
      </c>
      <c r="C445" s="67" t="s">
        <v>75</v>
      </c>
      <c r="D445" s="67" t="s">
        <v>6</v>
      </c>
      <c r="E445" s="67">
        <v>3.09</v>
      </c>
      <c r="F445" s="68">
        <f>TRUNC(19.43,2)</f>
        <v>19.43</v>
      </c>
      <c r="G445" s="63">
        <f t="shared" si="15"/>
        <v>60.03</v>
      </c>
      <c r="H445" s="63"/>
      <c r="I445" s="64"/>
    </row>
    <row r="446" spans="2:9" s="67" customFormat="1" ht="14.25">
      <c r="B446" s="67" t="s">
        <v>698</v>
      </c>
      <c r="C446" s="67" t="s">
        <v>699</v>
      </c>
      <c r="D446" s="67" t="s">
        <v>1</v>
      </c>
      <c r="E446" s="67">
        <v>0.02</v>
      </c>
      <c r="F446" s="68">
        <f>TRUNC(71.2006,2)</f>
        <v>71.2</v>
      </c>
      <c r="G446" s="63">
        <f t="shared" si="15"/>
        <v>1.42</v>
      </c>
      <c r="H446" s="63"/>
      <c r="I446" s="64"/>
    </row>
    <row r="447" spans="2:9" s="67" customFormat="1" ht="14.25">
      <c r="B447" s="67" t="s">
        <v>700</v>
      </c>
      <c r="C447" s="67" t="s">
        <v>701</v>
      </c>
      <c r="D447" s="67" t="s">
        <v>1</v>
      </c>
      <c r="E447" s="67">
        <v>0.02</v>
      </c>
      <c r="F447" s="68">
        <f>TRUNC(89.3334,2)</f>
        <v>89.33</v>
      </c>
      <c r="G447" s="63">
        <f t="shared" si="15"/>
        <v>1.78</v>
      </c>
      <c r="H447" s="63"/>
      <c r="I447" s="64"/>
    </row>
    <row r="448" spans="2:9" s="67" customFormat="1" ht="14.25">
      <c r="B448" s="67" t="s">
        <v>689</v>
      </c>
      <c r="C448" s="67" t="s">
        <v>690</v>
      </c>
      <c r="D448" s="67" t="s">
        <v>1</v>
      </c>
      <c r="E448" s="67">
        <v>0.02</v>
      </c>
      <c r="F448" s="68">
        <f>TRUNC(205.6994,2)</f>
        <v>205.69</v>
      </c>
      <c r="G448" s="63">
        <f t="shared" si="15"/>
        <v>4.11</v>
      </c>
      <c r="H448" s="63"/>
      <c r="I448" s="64"/>
    </row>
    <row r="449" spans="5:9" s="67" customFormat="1" ht="14.25">
      <c r="E449" s="67" t="s">
        <v>7</v>
      </c>
      <c r="F449" s="68"/>
      <c r="G449" s="63">
        <f>TRUNC(SUM(G436:G448),2)</f>
        <v>702.61</v>
      </c>
      <c r="H449" s="63"/>
      <c r="I449" s="64"/>
    </row>
    <row r="450" spans="1:9" s="99" customFormat="1" ht="71.25">
      <c r="A450" s="99" t="s">
        <v>641</v>
      </c>
      <c r="B450" s="99" t="s">
        <v>631</v>
      </c>
      <c r="C450" s="99" t="s">
        <v>601</v>
      </c>
      <c r="D450" s="99" t="s">
        <v>12</v>
      </c>
      <c r="E450" s="99">
        <v>2</v>
      </c>
      <c r="F450" s="100">
        <f>TRUNC(G477,2)</f>
        <v>2231.13</v>
      </c>
      <c r="G450" s="101">
        <f>TRUNC(F450*1.2977,2)</f>
        <v>2895.33</v>
      </c>
      <c r="H450" s="101">
        <f>TRUNC(F450*E450,2)</f>
        <v>4462.26</v>
      </c>
      <c r="I450" s="102">
        <f>TRUNC(E450*G450,2)</f>
        <v>5790.66</v>
      </c>
    </row>
    <row r="451" spans="2:9" s="67" customFormat="1" ht="14.25">
      <c r="B451" s="67" t="s">
        <v>578</v>
      </c>
      <c r="C451" s="67" t="s">
        <v>579</v>
      </c>
      <c r="D451" s="67" t="s">
        <v>12</v>
      </c>
      <c r="E451" s="67">
        <v>18</v>
      </c>
      <c r="F451" s="68">
        <f>TRUNC(0.06,2)</f>
        <v>0.06</v>
      </c>
      <c r="G451" s="63">
        <f aca="true" t="shared" si="16" ref="G451:G476">TRUNC(E451*F451,2)</f>
        <v>1.08</v>
      </c>
      <c r="H451" s="63"/>
      <c r="I451" s="64"/>
    </row>
    <row r="452" spans="2:9" s="67" customFormat="1" ht="14.25">
      <c r="B452" s="67" t="s">
        <v>560</v>
      </c>
      <c r="C452" s="67" t="s">
        <v>561</v>
      </c>
      <c r="D452" s="67" t="s">
        <v>49</v>
      </c>
      <c r="E452" s="67">
        <v>0.012</v>
      </c>
      <c r="F452" s="68">
        <f>TRUNC(54.62,2)</f>
        <v>54.62</v>
      </c>
      <c r="G452" s="63">
        <f t="shared" si="16"/>
        <v>0.65</v>
      </c>
      <c r="H452" s="63"/>
      <c r="I452" s="64"/>
    </row>
    <row r="453" spans="2:9" s="67" customFormat="1" ht="14.25">
      <c r="B453" s="67" t="s">
        <v>166</v>
      </c>
      <c r="C453" s="67" t="s">
        <v>414</v>
      </c>
      <c r="D453" s="67" t="s">
        <v>3</v>
      </c>
      <c r="E453" s="67">
        <v>14.006999999999998</v>
      </c>
      <c r="F453" s="68">
        <f>TRUNC(51.7,2)</f>
        <v>51.7</v>
      </c>
      <c r="G453" s="63">
        <f t="shared" si="16"/>
        <v>724.16</v>
      </c>
      <c r="H453" s="63"/>
      <c r="I453" s="64"/>
    </row>
    <row r="454" spans="2:9" s="67" customFormat="1" ht="14.25">
      <c r="B454" s="67" t="s">
        <v>594</v>
      </c>
      <c r="C454" s="67" t="s">
        <v>595</v>
      </c>
      <c r="D454" s="67" t="s">
        <v>3</v>
      </c>
      <c r="E454" s="67">
        <v>2.5357499999999997</v>
      </c>
      <c r="F454" s="68">
        <f>TRUNC(62.796,2)</f>
        <v>62.79</v>
      </c>
      <c r="G454" s="63">
        <f t="shared" si="16"/>
        <v>159.21</v>
      </c>
      <c r="H454" s="63"/>
      <c r="I454" s="64"/>
    </row>
    <row r="455" spans="2:9" s="67" customFormat="1" ht="14.25">
      <c r="B455" s="67" t="s">
        <v>383</v>
      </c>
      <c r="C455" s="67" t="s">
        <v>384</v>
      </c>
      <c r="D455" s="67" t="s">
        <v>3</v>
      </c>
      <c r="E455" s="67">
        <v>1</v>
      </c>
      <c r="F455" s="68">
        <f>TRUNC(6.75,2)</f>
        <v>6.75</v>
      </c>
      <c r="G455" s="63">
        <f t="shared" si="16"/>
        <v>6.75</v>
      </c>
      <c r="H455" s="63"/>
      <c r="I455" s="64"/>
    </row>
    <row r="456" spans="2:9" s="67" customFormat="1" ht="14.25">
      <c r="B456" s="67" t="s">
        <v>562</v>
      </c>
      <c r="C456" s="67" t="s">
        <v>563</v>
      </c>
      <c r="D456" s="67" t="s">
        <v>49</v>
      </c>
      <c r="E456" s="67">
        <v>0.05</v>
      </c>
      <c r="F456" s="68">
        <f>TRUNC(35.28,2)</f>
        <v>35.28</v>
      </c>
      <c r="G456" s="63">
        <f t="shared" si="16"/>
        <v>1.76</v>
      </c>
      <c r="H456" s="63"/>
      <c r="I456" s="64"/>
    </row>
    <row r="457" spans="2:9" s="67" customFormat="1" ht="28.5">
      <c r="B457" s="67" t="s">
        <v>4</v>
      </c>
      <c r="C457" s="67" t="s">
        <v>71</v>
      </c>
      <c r="D457" s="67" t="s">
        <v>5</v>
      </c>
      <c r="E457" s="67">
        <v>0.4</v>
      </c>
      <c r="F457" s="68">
        <f>TRUNC(8.55,2)</f>
        <v>8.55</v>
      </c>
      <c r="G457" s="63">
        <f t="shared" si="16"/>
        <v>3.42</v>
      </c>
      <c r="H457" s="63"/>
      <c r="I457" s="64"/>
    </row>
    <row r="458" spans="2:9" s="67" customFormat="1" ht="14.25">
      <c r="B458" s="67" t="s">
        <v>566</v>
      </c>
      <c r="C458" s="67" t="s">
        <v>567</v>
      </c>
      <c r="D458" s="67" t="s">
        <v>49</v>
      </c>
      <c r="E458" s="67">
        <v>0.017</v>
      </c>
      <c r="F458" s="68">
        <f>TRUNC(54.62,2)</f>
        <v>54.62</v>
      </c>
      <c r="G458" s="63">
        <f t="shared" si="16"/>
        <v>0.92</v>
      </c>
      <c r="H458" s="63"/>
      <c r="I458" s="64"/>
    </row>
    <row r="459" spans="2:9" s="67" customFormat="1" ht="14.25">
      <c r="B459" s="67" t="s">
        <v>602</v>
      </c>
      <c r="C459" s="67" t="s">
        <v>603</v>
      </c>
      <c r="D459" s="67" t="s">
        <v>12</v>
      </c>
      <c r="E459" s="67">
        <v>8</v>
      </c>
      <c r="F459" s="68">
        <f>TRUNC(0.46,2)</f>
        <v>0.46</v>
      </c>
      <c r="G459" s="63">
        <f t="shared" si="16"/>
        <v>3.68</v>
      </c>
      <c r="H459" s="63"/>
      <c r="I459" s="64"/>
    </row>
    <row r="460" spans="2:9" s="67" customFormat="1" ht="14.25">
      <c r="B460" s="67" t="s">
        <v>558</v>
      </c>
      <c r="C460" s="67" t="s">
        <v>559</v>
      </c>
      <c r="D460" s="67" t="s">
        <v>49</v>
      </c>
      <c r="E460" s="67">
        <v>0.1</v>
      </c>
      <c r="F460" s="68">
        <f>TRUNC(63.73,2)</f>
        <v>63.73</v>
      </c>
      <c r="G460" s="63">
        <f t="shared" si="16"/>
        <v>6.37</v>
      </c>
      <c r="H460" s="63"/>
      <c r="I460" s="64"/>
    </row>
    <row r="461" spans="2:9" s="67" customFormat="1" ht="14.25">
      <c r="B461" s="67" t="s">
        <v>604</v>
      </c>
      <c r="C461" s="67" t="s">
        <v>605</v>
      </c>
      <c r="D461" s="67" t="s">
        <v>5</v>
      </c>
      <c r="E461" s="67">
        <v>21.402649999999998</v>
      </c>
      <c r="F461" s="68">
        <f>TRUNC(4.83,2)</f>
        <v>4.83</v>
      </c>
      <c r="G461" s="63">
        <f t="shared" si="16"/>
        <v>103.37</v>
      </c>
      <c r="H461" s="63"/>
      <c r="I461" s="64"/>
    </row>
    <row r="462" spans="2:9" s="67" customFormat="1" ht="14.25">
      <c r="B462" s="67" t="s">
        <v>50</v>
      </c>
      <c r="C462" s="67" t="s">
        <v>92</v>
      </c>
      <c r="D462" s="67" t="s">
        <v>49</v>
      </c>
      <c r="E462" s="67">
        <v>0.19</v>
      </c>
      <c r="F462" s="68">
        <f>TRUNC(57.05,2)</f>
        <v>57.05</v>
      </c>
      <c r="G462" s="63">
        <f t="shared" si="16"/>
        <v>10.83</v>
      </c>
      <c r="H462" s="63"/>
      <c r="I462" s="64"/>
    </row>
    <row r="463" spans="2:9" s="67" customFormat="1" ht="14.25">
      <c r="B463" s="67" t="s">
        <v>608</v>
      </c>
      <c r="C463" s="67" t="s">
        <v>609</v>
      </c>
      <c r="D463" s="67" t="s">
        <v>12</v>
      </c>
      <c r="E463" s="67">
        <v>4</v>
      </c>
      <c r="F463" s="68">
        <f>TRUNC(0.35,2)</f>
        <v>0.35</v>
      </c>
      <c r="G463" s="63">
        <f t="shared" si="16"/>
        <v>1.4</v>
      </c>
      <c r="H463" s="63"/>
      <c r="I463" s="64"/>
    </row>
    <row r="464" spans="2:9" s="67" customFormat="1" ht="14.25">
      <c r="B464" s="67" t="s">
        <v>584</v>
      </c>
      <c r="C464" s="67" t="s">
        <v>585</v>
      </c>
      <c r="D464" s="67" t="s">
        <v>3</v>
      </c>
      <c r="E464" s="67">
        <v>1.162</v>
      </c>
      <c r="F464" s="68">
        <f>TRUNC(29.1105,2)</f>
        <v>29.11</v>
      </c>
      <c r="G464" s="63">
        <f t="shared" si="16"/>
        <v>33.82</v>
      </c>
      <c r="H464" s="63"/>
      <c r="I464" s="64"/>
    </row>
    <row r="465" spans="2:9" s="67" customFormat="1" ht="14.25">
      <c r="B465" s="67" t="s">
        <v>614</v>
      </c>
      <c r="C465" s="67" t="s">
        <v>615</v>
      </c>
      <c r="D465" s="67" t="s">
        <v>3</v>
      </c>
      <c r="E465" s="67">
        <v>16</v>
      </c>
      <c r="F465" s="68">
        <f>TRUNC(7.25,2)</f>
        <v>7.25</v>
      </c>
      <c r="G465" s="63">
        <f t="shared" si="16"/>
        <v>116</v>
      </c>
      <c r="H465" s="63"/>
      <c r="I465" s="64"/>
    </row>
    <row r="466" spans="2:9" s="67" customFormat="1" ht="14.25">
      <c r="B466" s="67" t="s">
        <v>586</v>
      </c>
      <c r="C466" s="67" t="s">
        <v>587</v>
      </c>
      <c r="D466" s="67" t="s">
        <v>12</v>
      </c>
      <c r="E466" s="67">
        <v>10</v>
      </c>
      <c r="F466" s="68">
        <f>TRUNC(0.43,2)</f>
        <v>0.43</v>
      </c>
      <c r="G466" s="63">
        <f t="shared" si="16"/>
        <v>4.3</v>
      </c>
      <c r="H466" s="63"/>
      <c r="I466" s="64"/>
    </row>
    <row r="467" spans="2:9" s="67" customFormat="1" ht="14.25">
      <c r="B467" s="67" t="s">
        <v>612</v>
      </c>
      <c r="C467" s="67" t="s">
        <v>613</v>
      </c>
      <c r="D467" s="67" t="s">
        <v>12</v>
      </c>
      <c r="E467" s="67">
        <v>8</v>
      </c>
      <c r="F467" s="68">
        <f>TRUNC(0.48,2)</f>
        <v>0.48</v>
      </c>
      <c r="G467" s="63">
        <f t="shared" si="16"/>
        <v>3.84</v>
      </c>
      <c r="H467" s="63"/>
      <c r="I467" s="64"/>
    </row>
    <row r="468" spans="2:9" s="67" customFormat="1" ht="14.25">
      <c r="B468" s="67" t="s">
        <v>610</v>
      </c>
      <c r="C468" s="67" t="s">
        <v>611</v>
      </c>
      <c r="D468" s="67" t="s">
        <v>12</v>
      </c>
      <c r="E468" s="67">
        <v>18</v>
      </c>
      <c r="F468" s="68">
        <f>TRUNC(0.1,2)</f>
        <v>0.1</v>
      </c>
      <c r="G468" s="63">
        <f t="shared" si="16"/>
        <v>1.8</v>
      </c>
      <c r="H468" s="63"/>
      <c r="I468" s="64"/>
    </row>
    <row r="469" spans="2:9" s="67" customFormat="1" ht="14.25">
      <c r="B469" s="67" t="s">
        <v>582</v>
      </c>
      <c r="C469" s="67" t="s">
        <v>583</v>
      </c>
      <c r="D469" s="67" t="s">
        <v>12</v>
      </c>
      <c r="E469" s="67">
        <v>4</v>
      </c>
      <c r="F469" s="68">
        <f>TRUNC(11,2)</f>
        <v>11</v>
      </c>
      <c r="G469" s="63">
        <f t="shared" si="16"/>
        <v>44</v>
      </c>
      <c r="H469" s="63"/>
      <c r="I469" s="64"/>
    </row>
    <row r="470" spans="2:9" s="67" customFormat="1" ht="14.25">
      <c r="B470" s="67" t="s">
        <v>606</v>
      </c>
      <c r="C470" s="67" t="s">
        <v>607</v>
      </c>
      <c r="D470" s="67" t="s">
        <v>5</v>
      </c>
      <c r="E470" s="67">
        <v>5.1198</v>
      </c>
      <c r="F470" s="68">
        <f>TRUNC(4.4822,2)</f>
        <v>4.48</v>
      </c>
      <c r="G470" s="63">
        <f t="shared" si="16"/>
        <v>22.93</v>
      </c>
      <c r="H470" s="63"/>
      <c r="I470" s="64"/>
    </row>
    <row r="471" spans="2:9" s="67" customFormat="1" ht="14.25">
      <c r="B471" s="67" t="s">
        <v>671</v>
      </c>
      <c r="C471" s="67" t="s">
        <v>672</v>
      </c>
      <c r="D471" s="67" t="s">
        <v>6</v>
      </c>
      <c r="E471" s="67">
        <v>1.6788999999999998</v>
      </c>
      <c r="F471" s="68">
        <f>TRUNC(18.05,2)</f>
        <v>18.05</v>
      </c>
      <c r="G471" s="63">
        <f t="shared" si="16"/>
        <v>30.3</v>
      </c>
      <c r="H471" s="63"/>
      <c r="I471" s="64"/>
    </row>
    <row r="472" spans="2:9" s="67" customFormat="1" ht="28.5">
      <c r="B472" s="67" t="s">
        <v>669</v>
      </c>
      <c r="C472" s="67" t="s">
        <v>670</v>
      </c>
      <c r="D472" s="67" t="s">
        <v>6</v>
      </c>
      <c r="E472" s="67">
        <v>24.72</v>
      </c>
      <c r="F472" s="68">
        <f>TRUNC(19.43,2)</f>
        <v>19.43</v>
      </c>
      <c r="G472" s="63">
        <f t="shared" si="16"/>
        <v>480.3</v>
      </c>
      <c r="H472" s="63"/>
      <c r="I472" s="64"/>
    </row>
    <row r="473" spans="2:9" s="67" customFormat="1" ht="28.5">
      <c r="B473" s="67" t="s">
        <v>72</v>
      </c>
      <c r="C473" s="67" t="s">
        <v>73</v>
      </c>
      <c r="D473" s="67" t="s">
        <v>6</v>
      </c>
      <c r="E473" s="67">
        <v>33.7943</v>
      </c>
      <c r="F473" s="68">
        <f>TRUNC(13.08,2)</f>
        <v>13.08</v>
      </c>
      <c r="G473" s="63">
        <f t="shared" si="16"/>
        <v>442.02</v>
      </c>
      <c r="H473" s="63"/>
      <c r="I473" s="64"/>
    </row>
    <row r="474" spans="2:9" s="67" customFormat="1" ht="14.25">
      <c r="B474" s="67" t="s">
        <v>698</v>
      </c>
      <c r="C474" s="67" t="s">
        <v>699</v>
      </c>
      <c r="D474" s="67" t="s">
        <v>1</v>
      </c>
      <c r="E474" s="67">
        <v>0.08</v>
      </c>
      <c r="F474" s="68">
        <f>TRUNC(71.2006,2)</f>
        <v>71.2</v>
      </c>
      <c r="G474" s="63">
        <f t="shared" si="16"/>
        <v>5.69</v>
      </c>
      <c r="H474" s="63"/>
      <c r="I474" s="64"/>
    </row>
    <row r="475" spans="2:9" s="67" customFormat="1" ht="14.25">
      <c r="B475" s="67" t="s">
        <v>361</v>
      </c>
      <c r="C475" s="67" t="s">
        <v>362</v>
      </c>
      <c r="D475" s="67" t="s">
        <v>1</v>
      </c>
      <c r="E475" s="67">
        <v>0.08</v>
      </c>
      <c r="F475" s="68">
        <f>TRUNC(192.4416,2)</f>
        <v>192.44</v>
      </c>
      <c r="G475" s="63">
        <f t="shared" si="16"/>
        <v>15.39</v>
      </c>
      <c r="H475" s="63"/>
      <c r="I475" s="64"/>
    </row>
    <row r="476" spans="2:9" s="67" customFormat="1" ht="14.25">
      <c r="B476" s="67" t="s">
        <v>700</v>
      </c>
      <c r="C476" s="67" t="s">
        <v>701</v>
      </c>
      <c r="D476" s="67" t="s">
        <v>1</v>
      </c>
      <c r="E476" s="67">
        <v>0.08</v>
      </c>
      <c r="F476" s="68">
        <f>TRUNC(89.3334,2)</f>
        <v>89.33</v>
      </c>
      <c r="G476" s="63">
        <f t="shared" si="16"/>
        <v>7.14</v>
      </c>
      <c r="H476" s="63"/>
      <c r="I476" s="64"/>
    </row>
    <row r="477" spans="5:9" s="67" customFormat="1" ht="14.25">
      <c r="E477" s="67" t="s">
        <v>7</v>
      </c>
      <c r="F477" s="68"/>
      <c r="G477" s="63">
        <f>TRUNC(SUM(G451:G476),2)</f>
        <v>2231.13</v>
      </c>
      <c r="H477" s="63"/>
      <c r="I477" s="64"/>
    </row>
    <row r="478" spans="1:9" s="99" customFormat="1" ht="57">
      <c r="A478" s="99" t="s">
        <v>642</v>
      </c>
      <c r="B478" s="99" t="s">
        <v>702</v>
      </c>
      <c r="C478" s="99" t="s">
        <v>617</v>
      </c>
      <c r="D478" s="99" t="s">
        <v>12</v>
      </c>
      <c r="E478" s="99">
        <v>1</v>
      </c>
      <c r="F478" s="100">
        <f>TRUNC(G499,2)</f>
        <v>1945.12</v>
      </c>
      <c r="G478" s="101">
        <f>TRUNC(F478*1.2977,2)</f>
        <v>2524.18</v>
      </c>
      <c r="H478" s="101">
        <f>TRUNC(F478*E478,2)</f>
        <v>1945.12</v>
      </c>
      <c r="I478" s="102">
        <f>TRUNC(E478*G478,2)</f>
        <v>2524.18</v>
      </c>
    </row>
    <row r="479" spans="2:9" s="67" customFormat="1" ht="14.25">
      <c r="B479" s="67" t="s">
        <v>612</v>
      </c>
      <c r="C479" s="67" t="s">
        <v>613</v>
      </c>
      <c r="D479" s="67" t="s">
        <v>12</v>
      </c>
      <c r="E479" s="67">
        <v>16</v>
      </c>
      <c r="F479" s="68">
        <f>TRUNC(0.48,2)</f>
        <v>0.48</v>
      </c>
      <c r="G479" s="63">
        <f aca="true" t="shared" si="17" ref="G479:G498">TRUNC(E479*F479,2)</f>
        <v>7.68</v>
      </c>
      <c r="H479" s="63"/>
      <c r="I479" s="64"/>
    </row>
    <row r="480" spans="2:9" s="67" customFormat="1" ht="14.25">
      <c r="B480" s="67" t="s">
        <v>50</v>
      </c>
      <c r="C480" s="67" t="s">
        <v>92</v>
      </c>
      <c r="D480" s="67" t="s">
        <v>49</v>
      </c>
      <c r="E480" s="67">
        <v>0.2</v>
      </c>
      <c r="F480" s="68">
        <f>TRUNC(57.05,2)</f>
        <v>57.05</v>
      </c>
      <c r="G480" s="63">
        <f t="shared" si="17"/>
        <v>11.41</v>
      </c>
      <c r="H480" s="63"/>
      <c r="I480" s="64"/>
    </row>
    <row r="481" spans="2:9" s="67" customFormat="1" ht="14.25">
      <c r="B481" s="67" t="s">
        <v>560</v>
      </c>
      <c r="C481" s="67" t="s">
        <v>561</v>
      </c>
      <c r="D481" s="67" t="s">
        <v>49</v>
      </c>
      <c r="E481" s="67">
        <v>0.11</v>
      </c>
      <c r="F481" s="68">
        <f>TRUNC(54.62,2)</f>
        <v>54.62</v>
      </c>
      <c r="G481" s="63">
        <f t="shared" si="17"/>
        <v>6</v>
      </c>
      <c r="H481" s="63"/>
      <c r="I481" s="64"/>
    </row>
    <row r="482" spans="2:9" s="67" customFormat="1" ht="14.25">
      <c r="B482" s="67" t="s">
        <v>466</v>
      </c>
      <c r="C482" s="67" t="s">
        <v>467</v>
      </c>
      <c r="D482" s="67" t="s">
        <v>3</v>
      </c>
      <c r="E482" s="67">
        <v>8.452499999999999</v>
      </c>
      <c r="F482" s="68">
        <f>TRUNC(16.0989,2)</f>
        <v>16.09</v>
      </c>
      <c r="G482" s="63">
        <f t="shared" si="17"/>
        <v>136</v>
      </c>
      <c r="H482" s="63"/>
      <c r="I482" s="64"/>
    </row>
    <row r="483" spans="2:9" s="67" customFormat="1" ht="14.25">
      <c r="B483" s="67" t="s">
        <v>166</v>
      </c>
      <c r="C483" s="67" t="s">
        <v>414</v>
      </c>
      <c r="D483" s="67" t="s">
        <v>3</v>
      </c>
      <c r="E483" s="67">
        <v>7.452</v>
      </c>
      <c r="F483" s="68">
        <f>TRUNC(51.7,2)</f>
        <v>51.7</v>
      </c>
      <c r="G483" s="63">
        <f t="shared" si="17"/>
        <v>385.26</v>
      </c>
      <c r="H483" s="63"/>
      <c r="I483" s="64"/>
    </row>
    <row r="484" spans="2:9" s="67" customFormat="1" ht="14.25">
      <c r="B484" s="67" t="s">
        <v>562</v>
      </c>
      <c r="C484" s="67" t="s">
        <v>563</v>
      </c>
      <c r="D484" s="67" t="s">
        <v>49</v>
      </c>
      <c r="E484" s="67">
        <v>0.25</v>
      </c>
      <c r="F484" s="68">
        <f>TRUNC(35.28,2)</f>
        <v>35.28</v>
      </c>
      <c r="G484" s="63">
        <f t="shared" si="17"/>
        <v>8.82</v>
      </c>
      <c r="H484" s="63"/>
      <c r="I484" s="64"/>
    </row>
    <row r="485" spans="2:9" s="67" customFormat="1" ht="14.25">
      <c r="B485" s="67" t="s">
        <v>558</v>
      </c>
      <c r="C485" s="67" t="s">
        <v>559</v>
      </c>
      <c r="D485" s="67" t="s">
        <v>49</v>
      </c>
      <c r="E485" s="67">
        <v>0.07</v>
      </c>
      <c r="F485" s="68">
        <f>TRUNC(63.73,2)</f>
        <v>63.73</v>
      </c>
      <c r="G485" s="63">
        <f t="shared" si="17"/>
        <v>4.46</v>
      </c>
      <c r="H485" s="63"/>
      <c r="I485" s="64"/>
    </row>
    <row r="486" spans="2:9" s="67" customFormat="1" ht="14.25">
      <c r="B486" s="67" t="s">
        <v>568</v>
      </c>
      <c r="C486" s="67" t="s">
        <v>569</v>
      </c>
      <c r="D486" s="67" t="s">
        <v>5</v>
      </c>
      <c r="E486" s="67">
        <v>5.52</v>
      </c>
      <c r="F486" s="68">
        <f>TRUNC(4.6561,2)</f>
        <v>4.65</v>
      </c>
      <c r="G486" s="63">
        <f t="shared" si="17"/>
        <v>25.66</v>
      </c>
      <c r="H486" s="63"/>
      <c r="I486" s="64"/>
    </row>
    <row r="487" spans="2:9" s="67" customFormat="1" ht="14.25">
      <c r="B487" s="67" t="s">
        <v>618</v>
      </c>
      <c r="C487" s="67" t="s">
        <v>619</v>
      </c>
      <c r="D487" s="67" t="s">
        <v>5</v>
      </c>
      <c r="E487" s="67">
        <v>1.1155</v>
      </c>
      <c r="F487" s="68">
        <f>TRUNC(4.0973,2)</f>
        <v>4.09</v>
      </c>
      <c r="G487" s="63">
        <f t="shared" si="17"/>
        <v>4.56</v>
      </c>
      <c r="H487" s="63"/>
      <c r="I487" s="64"/>
    </row>
    <row r="488" spans="2:9" s="67" customFormat="1" ht="14.25">
      <c r="B488" s="67" t="s">
        <v>584</v>
      </c>
      <c r="C488" s="67" t="s">
        <v>585</v>
      </c>
      <c r="D488" s="67" t="s">
        <v>3</v>
      </c>
      <c r="E488" s="67">
        <v>12.83</v>
      </c>
      <c r="F488" s="68">
        <f>TRUNC(29.1105,2)</f>
        <v>29.11</v>
      </c>
      <c r="G488" s="63">
        <f t="shared" si="17"/>
        <v>373.48</v>
      </c>
      <c r="H488" s="63"/>
      <c r="I488" s="64"/>
    </row>
    <row r="489" spans="2:9" s="67" customFormat="1" ht="14.25">
      <c r="B489" s="67" t="s">
        <v>620</v>
      </c>
      <c r="C489" s="67" t="s">
        <v>621</v>
      </c>
      <c r="D489" s="67" t="s">
        <v>12</v>
      </c>
      <c r="E489" s="67">
        <v>30</v>
      </c>
      <c r="F489" s="68">
        <f>TRUNC(0.32,2)</f>
        <v>0.32</v>
      </c>
      <c r="G489" s="63">
        <f t="shared" si="17"/>
        <v>9.6</v>
      </c>
      <c r="H489" s="63"/>
      <c r="I489" s="64"/>
    </row>
    <row r="490" spans="2:9" s="67" customFormat="1" ht="14.25">
      <c r="B490" s="67" t="s">
        <v>580</v>
      </c>
      <c r="C490" s="67" t="s">
        <v>581</v>
      </c>
      <c r="D490" s="67" t="s">
        <v>12</v>
      </c>
      <c r="E490" s="67">
        <v>16</v>
      </c>
      <c r="F490" s="68">
        <f>TRUNC(0.14,2)</f>
        <v>0.14</v>
      </c>
      <c r="G490" s="63">
        <f t="shared" si="17"/>
        <v>2.24</v>
      </c>
      <c r="H490" s="63"/>
      <c r="I490" s="64"/>
    </row>
    <row r="491" spans="2:9" s="67" customFormat="1" ht="14.25">
      <c r="B491" s="67" t="s">
        <v>578</v>
      </c>
      <c r="C491" s="67" t="s">
        <v>579</v>
      </c>
      <c r="D491" s="67" t="s">
        <v>12</v>
      </c>
      <c r="E491" s="67">
        <v>16</v>
      </c>
      <c r="F491" s="68">
        <f>TRUNC(0.06,2)</f>
        <v>0.06</v>
      </c>
      <c r="G491" s="63">
        <f t="shared" si="17"/>
        <v>0.96</v>
      </c>
      <c r="H491" s="63"/>
      <c r="I491" s="64"/>
    </row>
    <row r="492" spans="2:9" s="67" customFormat="1" ht="28.5">
      <c r="B492" s="67" t="s">
        <v>74</v>
      </c>
      <c r="C492" s="67" t="s">
        <v>75</v>
      </c>
      <c r="D492" s="67" t="s">
        <v>6</v>
      </c>
      <c r="E492" s="67">
        <v>16.48</v>
      </c>
      <c r="F492" s="68">
        <f>TRUNC(19.43,2)</f>
        <v>19.43</v>
      </c>
      <c r="G492" s="63">
        <f t="shared" si="17"/>
        <v>320.2</v>
      </c>
      <c r="H492" s="63"/>
      <c r="I492" s="64"/>
    </row>
    <row r="493" spans="2:9" s="67" customFormat="1" ht="14.25">
      <c r="B493" s="67" t="s">
        <v>671</v>
      </c>
      <c r="C493" s="67" t="s">
        <v>672</v>
      </c>
      <c r="D493" s="67" t="s">
        <v>6</v>
      </c>
      <c r="E493" s="67">
        <v>0.9064</v>
      </c>
      <c r="F493" s="68">
        <f>TRUNC(18.05,2)</f>
        <v>18.05</v>
      </c>
      <c r="G493" s="63">
        <f t="shared" si="17"/>
        <v>16.36</v>
      </c>
      <c r="H493" s="63"/>
      <c r="I493" s="64"/>
    </row>
    <row r="494" spans="2:9" s="67" customFormat="1" ht="28.5">
      <c r="B494" s="67" t="s">
        <v>669</v>
      </c>
      <c r="C494" s="67" t="s">
        <v>670</v>
      </c>
      <c r="D494" s="67" t="s">
        <v>6</v>
      </c>
      <c r="E494" s="67">
        <v>8.24</v>
      </c>
      <c r="F494" s="68">
        <f>TRUNC(19.43,2)</f>
        <v>19.43</v>
      </c>
      <c r="G494" s="63">
        <f t="shared" si="17"/>
        <v>160.1</v>
      </c>
      <c r="H494" s="63"/>
      <c r="I494" s="64"/>
    </row>
    <row r="495" spans="2:9" s="67" customFormat="1" ht="28.5">
      <c r="B495" s="67" t="s">
        <v>72</v>
      </c>
      <c r="C495" s="67" t="s">
        <v>73</v>
      </c>
      <c r="D495" s="67" t="s">
        <v>6</v>
      </c>
      <c r="E495" s="67">
        <v>33.413199999999996</v>
      </c>
      <c r="F495" s="68">
        <f>TRUNC(13.08,2)</f>
        <v>13.08</v>
      </c>
      <c r="G495" s="63">
        <f t="shared" si="17"/>
        <v>437.04</v>
      </c>
      <c r="H495" s="63"/>
      <c r="I495" s="64"/>
    </row>
    <row r="496" spans="2:9" s="67" customFormat="1" ht="14.25">
      <c r="B496" s="67" t="s">
        <v>698</v>
      </c>
      <c r="C496" s="67" t="s">
        <v>699</v>
      </c>
      <c r="D496" s="67" t="s">
        <v>1</v>
      </c>
      <c r="E496" s="67">
        <v>0.1</v>
      </c>
      <c r="F496" s="68">
        <f>TRUNC(71.2006,2)</f>
        <v>71.2</v>
      </c>
      <c r="G496" s="63">
        <f t="shared" si="17"/>
        <v>7.12</v>
      </c>
      <c r="H496" s="63"/>
      <c r="I496" s="64"/>
    </row>
    <row r="497" spans="2:9" s="67" customFormat="1" ht="14.25">
      <c r="B497" s="67" t="s">
        <v>361</v>
      </c>
      <c r="C497" s="67" t="s">
        <v>362</v>
      </c>
      <c r="D497" s="67" t="s">
        <v>1</v>
      </c>
      <c r="E497" s="67">
        <v>0.1</v>
      </c>
      <c r="F497" s="68">
        <f>TRUNC(192.4416,2)</f>
        <v>192.44</v>
      </c>
      <c r="G497" s="63">
        <f t="shared" si="17"/>
        <v>19.24</v>
      </c>
      <c r="H497" s="63"/>
      <c r="I497" s="64"/>
    </row>
    <row r="498" spans="2:9" s="67" customFormat="1" ht="14.25">
      <c r="B498" s="67" t="s">
        <v>700</v>
      </c>
      <c r="C498" s="67" t="s">
        <v>701</v>
      </c>
      <c r="D498" s="67" t="s">
        <v>1</v>
      </c>
      <c r="E498" s="67">
        <v>0.1</v>
      </c>
      <c r="F498" s="68">
        <f>TRUNC(89.3334,2)</f>
        <v>89.33</v>
      </c>
      <c r="G498" s="63">
        <f t="shared" si="17"/>
        <v>8.93</v>
      </c>
      <c r="H498" s="63"/>
      <c r="I498" s="64"/>
    </row>
    <row r="499" spans="5:9" s="67" customFormat="1" ht="14.25">
      <c r="E499" s="67" t="s">
        <v>7</v>
      </c>
      <c r="F499" s="68"/>
      <c r="G499" s="63">
        <f>TRUNC(SUM(G479:G498),2)</f>
        <v>1945.12</v>
      </c>
      <c r="H499" s="63"/>
      <c r="I499" s="64"/>
    </row>
    <row r="500" spans="1:9" s="44" customFormat="1" ht="15.75">
      <c r="A500" s="53" t="s">
        <v>53</v>
      </c>
      <c r="B500" s="55"/>
      <c r="C500" s="54"/>
      <c r="D500" s="55"/>
      <c r="E500" s="55"/>
      <c r="F500" s="55" t="s">
        <v>323</v>
      </c>
      <c r="G500" s="55"/>
      <c r="H500" s="57">
        <f>H379+H376+H478+H450+H435+H409+H382</f>
        <v>13185.93</v>
      </c>
      <c r="I500" s="57">
        <f>I379+I376+I478+I450+I435+I409+I382</f>
        <v>17111.33</v>
      </c>
    </row>
    <row r="501" spans="1:9" s="43" customFormat="1" ht="15.75">
      <c r="A501" s="43" t="s">
        <v>309</v>
      </c>
      <c r="B501" s="51"/>
      <c r="C501" s="52" t="s">
        <v>544</v>
      </c>
      <c r="D501" s="52"/>
      <c r="E501" s="52"/>
      <c r="F501" s="52"/>
      <c r="G501" s="52"/>
      <c r="H501" s="52"/>
      <c r="I501" s="50"/>
    </row>
    <row r="502" spans="1:10" s="99" customFormat="1" ht="28.5">
      <c r="A502" s="99" t="s">
        <v>310</v>
      </c>
      <c r="B502" s="99" t="s">
        <v>765</v>
      </c>
      <c r="C502" s="99" t="s">
        <v>545</v>
      </c>
      <c r="D502" s="99" t="s">
        <v>0</v>
      </c>
      <c r="E502" s="99">
        <v>328.5</v>
      </c>
      <c r="F502" s="100">
        <f>TRUNC(G512,2)</f>
        <v>59.94</v>
      </c>
      <c r="G502" s="101">
        <f>TRUNC(F502*1.2977,2)</f>
        <v>77.78</v>
      </c>
      <c r="H502" s="101">
        <f>TRUNC(F502*E502,2)</f>
        <v>19690.29</v>
      </c>
      <c r="I502" s="102">
        <f>TRUNC(E502*G502,2)</f>
        <v>25550.73</v>
      </c>
      <c r="J502" s="99">
        <v>328.5</v>
      </c>
    </row>
    <row r="503" spans="2:9" s="67" customFormat="1" ht="42.75">
      <c r="B503" s="67" t="s">
        <v>766</v>
      </c>
      <c r="C503" s="67" t="s">
        <v>546</v>
      </c>
      <c r="D503" s="67" t="s">
        <v>0</v>
      </c>
      <c r="E503" s="67">
        <v>1.0533</v>
      </c>
      <c r="F503" s="68">
        <f>TRUNC(34.55,2)</f>
        <v>34.55</v>
      </c>
      <c r="G503" s="63">
        <f aca="true" t="shared" si="18" ref="G503:G511">TRUNC(E503*F503,2)</f>
        <v>36.39</v>
      </c>
      <c r="H503" s="63"/>
      <c r="I503" s="64"/>
    </row>
    <row r="504" spans="2:9" s="67" customFormat="1" ht="14.25">
      <c r="B504" s="67" t="s">
        <v>767</v>
      </c>
      <c r="C504" s="67" t="s">
        <v>547</v>
      </c>
      <c r="D504" s="67" t="s">
        <v>1</v>
      </c>
      <c r="E504" s="67">
        <v>0.0064</v>
      </c>
      <c r="F504" s="68">
        <f>TRUNC(55.84,2)</f>
        <v>55.84</v>
      </c>
      <c r="G504" s="63">
        <f t="shared" si="18"/>
        <v>0.35</v>
      </c>
      <c r="H504" s="63"/>
      <c r="I504" s="64"/>
    </row>
    <row r="505" spans="2:9" s="67" customFormat="1" ht="14.25">
      <c r="B505" s="67" t="s">
        <v>768</v>
      </c>
      <c r="C505" s="67" t="s">
        <v>548</v>
      </c>
      <c r="D505" s="67" t="s">
        <v>1</v>
      </c>
      <c r="E505" s="67">
        <v>0.0568</v>
      </c>
      <c r="F505" s="68">
        <f>TRUNC(51.43,2)</f>
        <v>51.43</v>
      </c>
      <c r="G505" s="63">
        <f t="shared" si="18"/>
        <v>2.92</v>
      </c>
      <c r="H505" s="63"/>
      <c r="I505" s="64"/>
    </row>
    <row r="506" spans="2:9" s="67" customFormat="1" ht="14.25">
      <c r="B506" s="67" t="s">
        <v>722</v>
      </c>
      <c r="C506" s="67" t="s">
        <v>127</v>
      </c>
      <c r="D506" s="67" t="s">
        <v>6</v>
      </c>
      <c r="E506" s="67">
        <v>0.4352</v>
      </c>
      <c r="F506" s="68">
        <f>TRUNC(19.85,2)</f>
        <v>19.85</v>
      </c>
      <c r="G506" s="63">
        <f t="shared" si="18"/>
        <v>8.63</v>
      </c>
      <c r="H506" s="63"/>
      <c r="I506" s="64"/>
    </row>
    <row r="507" spans="2:9" s="67" customFormat="1" ht="14.25">
      <c r="B507" s="67" t="s">
        <v>725</v>
      </c>
      <c r="C507" s="67" t="s">
        <v>527</v>
      </c>
      <c r="D507" s="67" t="s">
        <v>6</v>
      </c>
      <c r="E507" s="67">
        <v>0.4352</v>
      </c>
      <c r="F507" s="68">
        <f>TRUNC(25.04,2)</f>
        <v>25.04</v>
      </c>
      <c r="G507" s="63">
        <f t="shared" si="18"/>
        <v>10.89</v>
      </c>
      <c r="H507" s="63"/>
      <c r="I507" s="64"/>
    </row>
    <row r="508" spans="2:9" s="67" customFormat="1" ht="42.75">
      <c r="B508" s="67" t="s">
        <v>769</v>
      </c>
      <c r="C508" s="67" t="s">
        <v>770</v>
      </c>
      <c r="D508" s="67" t="s">
        <v>385</v>
      </c>
      <c r="E508" s="67">
        <v>0.1693</v>
      </c>
      <c r="F508" s="68">
        <f>TRUNC(0.65,2)</f>
        <v>0.65</v>
      </c>
      <c r="G508" s="63">
        <f t="shared" si="18"/>
        <v>0.11</v>
      </c>
      <c r="H508" s="63"/>
      <c r="I508" s="64"/>
    </row>
    <row r="509" spans="2:9" s="67" customFormat="1" ht="42.75">
      <c r="B509" s="67" t="s">
        <v>771</v>
      </c>
      <c r="C509" s="67" t="s">
        <v>772</v>
      </c>
      <c r="D509" s="67" t="s">
        <v>52</v>
      </c>
      <c r="E509" s="67">
        <v>0.0483</v>
      </c>
      <c r="F509" s="68">
        <f>TRUNC(10.61,2)</f>
        <v>10.61</v>
      </c>
      <c r="G509" s="63">
        <f t="shared" si="18"/>
        <v>0.51</v>
      </c>
      <c r="H509" s="63"/>
      <c r="I509" s="64"/>
    </row>
    <row r="510" spans="2:9" s="67" customFormat="1" ht="28.5">
      <c r="B510" s="67" t="s">
        <v>773</v>
      </c>
      <c r="C510" s="67" t="s">
        <v>774</v>
      </c>
      <c r="D510" s="67" t="s">
        <v>385</v>
      </c>
      <c r="E510" s="67">
        <v>0.2135</v>
      </c>
      <c r="F510" s="68">
        <f>TRUNC(0.58,2)</f>
        <v>0.58</v>
      </c>
      <c r="G510" s="63">
        <f t="shared" si="18"/>
        <v>0.12</v>
      </c>
      <c r="H510" s="63"/>
      <c r="I510" s="64"/>
    </row>
    <row r="511" spans="2:9" s="67" customFormat="1" ht="28.5">
      <c r="B511" s="67" t="s">
        <v>775</v>
      </c>
      <c r="C511" s="67" t="s">
        <v>776</v>
      </c>
      <c r="D511" s="67" t="s">
        <v>52</v>
      </c>
      <c r="E511" s="67">
        <v>0.0041</v>
      </c>
      <c r="F511" s="68">
        <f>TRUNC(5.02,2)</f>
        <v>5.02</v>
      </c>
      <c r="G511" s="63">
        <f t="shared" si="18"/>
        <v>0.02</v>
      </c>
      <c r="H511" s="63"/>
      <c r="I511" s="64"/>
    </row>
    <row r="512" spans="5:9" s="67" customFormat="1" ht="14.25">
      <c r="E512" s="67" t="s">
        <v>7</v>
      </c>
      <c r="F512" s="68"/>
      <c r="G512" s="63">
        <f>TRUNC(SUM(G503:G511),2)</f>
        <v>59.94</v>
      </c>
      <c r="H512" s="63"/>
      <c r="I512" s="64"/>
    </row>
    <row r="513" spans="1:9" s="99" customFormat="1" ht="42.75">
      <c r="A513" s="99" t="s">
        <v>311</v>
      </c>
      <c r="B513" s="99" t="s">
        <v>777</v>
      </c>
      <c r="C513" s="99" t="s">
        <v>549</v>
      </c>
      <c r="D513" s="99" t="s">
        <v>3</v>
      </c>
      <c r="E513" s="99">
        <v>79.46</v>
      </c>
      <c r="F513" s="100">
        <f>TRUNC(G519,2)</f>
        <v>35.81</v>
      </c>
      <c r="G513" s="101">
        <f>TRUNC(F513*1.2977,2)</f>
        <v>46.47</v>
      </c>
      <c r="H513" s="101">
        <f>TRUNC(F513*E513,2)</f>
        <v>2845.46</v>
      </c>
      <c r="I513" s="102">
        <f>TRUNC(E513*G513,2)</f>
        <v>3692.5</v>
      </c>
    </row>
    <row r="514" spans="2:9" s="67" customFormat="1" ht="14.25">
      <c r="B514" s="67" t="s">
        <v>778</v>
      </c>
      <c r="C514" s="67" t="s">
        <v>550</v>
      </c>
      <c r="D514" s="67" t="s">
        <v>3</v>
      </c>
      <c r="E514" s="67">
        <v>1.005</v>
      </c>
      <c r="F514" s="68">
        <f>TRUNC(18.75,2)</f>
        <v>18.75</v>
      </c>
      <c r="G514" s="63">
        <f>TRUNC(E514*F514,2)</f>
        <v>18.84</v>
      </c>
      <c r="H514" s="63"/>
      <c r="I514" s="64"/>
    </row>
    <row r="515" spans="2:9" s="67" customFormat="1" ht="14.25">
      <c r="B515" s="67" t="s">
        <v>768</v>
      </c>
      <c r="C515" s="67" t="s">
        <v>548</v>
      </c>
      <c r="D515" s="67" t="s">
        <v>1</v>
      </c>
      <c r="E515" s="67">
        <v>0.007</v>
      </c>
      <c r="F515" s="68">
        <f>TRUNC(51.43,2)</f>
        <v>51.43</v>
      </c>
      <c r="G515" s="63">
        <f>TRUNC(E515*F515,2)</f>
        <v>0.36</v>
      </c>
      <c r="H515" s="63"/>
      <c r="I515" s="64"/>
    </row>
    <row r="516" spans="2:9" s="67" customFormat="1" ht="14.25">
      <c r="B516" s="67" t="s">
        <v>722</v>
      </c>
      <c r="C516" s="67" t="s">
        <v>127</v>
      </c>
      <c r="D516" s="67" t="s">
        <v>6</v>
      </c>
      <c r="E516" s="67">
        <v>0.36</v>
      </c>
      <c r="F516" s="68">
        <f>TRUNC(19.85,2)</f>
        <v>19.85</v>
      </c>
      <c r="G516" s="63">
        <f>TRUNC(E516*F516,2)</f>
        <v>7.14</v>
      </c>
      <c r="H516" s="63"/>
      <c r="I516" s="64"/>
    </row>
    <row r="517" spans="2:9" s="67" customFormat="1" ht="14.25">
      <c r="B517" s="67" t="s">
        <v>727</v>
      </c>
      <c r="C517" s="67" t="s">
        <v>307</v>
      </c>
      <c r="D517" s="67" t="s">
        <v>6</v>
      </c>
      <c r="E517" s="67">
        <v>0.36</v>
      </c>
      <c r="F517" s="68">
        <f>TRUNC(25.18,2)</f>
        <v>25.18</v>
      </c>
      <c r="G517" s="63">
        <f>TRUNC(E517*F517,2)</f>
        <v>9.06</v>
      </c>
      <c r="H517" s="63"/>
      <c r="I517" s="64"/>
    </row>
    <row r="518" spans="2:9" s="67" customFormat="1" ht="28.5">
      <c r="B518" s="67" t="s">
        <v>779</v>
      </c>
      <c r="C518" s="67" t="s">
        <v>780</v>
      </c>
      <c r="D518" s="67" t="s">
        <v>1</v>
      </c>
      <c r="E518" s="67">
        <v>0.001</v>
      </c>
      <c r="F518" s="68">
        <f>TRUNC(413.49,2)</f>
        <v>413.49</v>
      </c>
      <c r="G518" s="63">
        <f>TRUNC(E518*F518,2)</f>
        <v>0.41</v>
      </c>
      <c r="H518" s="63"/>
      <c r="I518" s="64"/>
    </row>
    <row r="519" spans="5:9" s="67" customFormat="1" ht="14.25">
      <c r="E519" s="67" t="s">
        <v>7</v>
      </c>
      <c r="F519" s="68"/>
      <c r="G519" s="63">
        <f>TRUNC(SUM(G514:G518),2)</f>
        <v>35.81</v>
      </c>
      <c r="H519" s="63"/>
      <c r="I519" s="64"/>
    </row>
    <row r="520" spans="1:10" s="99" customFormat="1" ht="57">
      <c r="A520" s="99" t="s">
        <v>441</v>
      </c>
      <c r="B520" s="99" t="s">
        <v>553</v>
      </c>
      <c r="C520" s="99" t="s">
        <v>632</v>
      </c>
      <c r="D520" s="99" t="s">
        <v>0</v>
      </c>
      <c r="E520" s="99">
        <v>250.54</v>
      </c>
      <c r="F520" s="100">
        <f>TRUNC(G523,2)</f>
        <v>9.78</v>
      </c>
      <c r="G520" s="101">
        <f>TRUNC(F520*1.2977,2)</f>
        <v>12.69</v>
      </c>
      <c r="H520" s="101">
        <f>TRUNC(F520*E520,2)</f>
        <v>2450.28</v>
      </c>
      <c r="I520" s="102">
        <f>TRUNC(E520*G520,2)</f>
        <v>3179.35</v>
      </c>
      <c r="J520" s="99">
        <f>157.33+93.21</f>
        <v>250.54000000000002</v>
      </c>
    </row>
    <row r="521" spans="2:9" s="76" customFormat="1" ht="15">
      <c r="B521" s="89" t="s">
        <v>551</v>
      </c>
      <c r="C521" s="76" t="s">
        <v>552</v>
      </c>
      <c r="D521" s="76" t="s">
        <v>0</v>
      </c>
      <c r="E521" s="76">
        <v>1.02</v>
      </c>
      <c r="F521" s="79">
        <v>4.15</v>
      </c>
      <c r="G521" s="77">
        <f>TRUNC(E521*F521,2)</f>
        <v>4.23</v>
      </c>
      <c r="H521" s="77"/>
      <c r="I521" s="78"/>
    </row>
    <row r="522" spans="2:9" s="67" customFormat="1" ht="28.5">
      <c r="B522" s="67" t="s">
        <v>530</v>
      </c>
      <c r="C522" s="67" t="s">
        <v>531</v>
      </c>
      <c r="D522" s="67" t="s">
        <v>6</v>
      </c>
      <c r="E522" s="67">
        <v>0.515</v>
      </c>
      <c r="F522" s="68">
        <f>TRUNC(10.78,2)</f>
        <v>10.78</v>
      </c>
      <c r="G522" s="63">
        <f>TRUNC(E522*F522,2)</f>
        <v>5.55</v>
      </c>
      <c r="H522" s="63"/>
      <c r="I522" s="64"/>
    </row>
    <row r="523" spans="5:9" s="67" customFormat="1" ht="14.25">
      <c r="E523" s="67" t="s">
        <v>7</v>
      </c>
      <c r="F523" s="68"/>
      <c r="G523" s="63">
        <f>TRUNC(SUM(G521:G522),2)</f>
        <v>9.78</v>
      </c>
      <c r="H523" s="63"/>
      <c r="I523" s="64"/>
    </row>
    <row r="524" spans="1:9" s="99" customFormat="1" ht="28.5">
      <c r="A524" s="99" t="s">
        <v>480</v>
      </c>
      <c r="B524" s="99" t="s">
        <v>633</v>
      </c>
      <c r="C524" s="99" t="s">
        <v>555</v>
      </c>
      <c r="D524" s="99" t="s">
        <v>1</v>
      </c>
      <c r="E524" s="99">
        <v>1.31</v>
      </c>
      <c r="F524" s="100">
        <f>TRUNC(G526,2)</f>
        <v>15.49</v>
      </c>
      <c r="G524" s="101">
        <f>TRUNC(F524*1.2977,2)</f>
        <v>20.1</v>
      </c>
      <c r="H524" s="101">
        <f>TRUNC(F524*E524,2)</f>
        <v>20.29</v>
      </c>
      <c r="I524" s="102">
        <f>TRUNC(E524*G524,2)</f>
        <v>26.33</v>
      </c>
    </row>
    <row r="525" spans="2:9" s="67" customFormat="1" ht="28.5">
      <c r="B525" s="67" t="s">
        <v>72</v>
      </c>
      <c r="C525" s="67" t="s">
        <v>73</v>
      </c>
      <c r="D525" s="67" t="s">
        <v>6</v>
      </c>
      <c r="E525" s="67">
        <v>1.1844999999999999</v>
      </c>
      <c r="F525" s="68">
        <f>TRUNC(13.08,2)</f>
        <v>13.08</v>
      </c>
      <c r="G525" s="63">
        <f>TRUNC(E525*F525,2)</f>
        <v>15.49</v>
      </c>
      <c r="H525" s="63"/>
      <c r="I525" s="64"/>
    </row>
    <row r="526" spans="5:9" s="67" customFormat="1" ht="14.25">
      <c r="E526" s="67" t="s">
        <v>7</v>
      </c>
      <c r="F526" s="68"/>
      <c r="G526" s="63">
        <f>TRUNC(SUM(G525:G525),2)</f>
        <v>15.49</v>
      </c>
      <c r="H526" s="63"/>
      <c r="I526" s="64"/>
    </row>
    <row r="527" spans="1:10" s="99" customFormat="1" ht="14.25">
      <c r="A527" s="99" t="s">
        <v>481</v>
      </c>
      <c r="B527" s="99" t="s">
        <v>634</v>
      </c>
      <c r="C527" s="99" t="s">
        <v>623</v>
      </c>
      <c r="D527" s="99" t="s">
        <v>3</v>
      </c>
      <c r="E527" s="99">
        <v>493.03</v>
      </c>
      <c r="F527" s="100">
        <f>TRUNC(G531,2)</f>
        <v>0.44</v>
      </c>
      <c r="G527" s="101">
        <f>TRUNC(F527*1.2977,2)</f>
        <v>0.57</v>
      </c>
      <c r="H527" s="101">
        <f>TRUNC(F527*E527,2)</f>
        <v>216.93</v>
      </c>
      <c r="I527" s="102">
        <f>TRUNC(E527*G527,2)</f>
        <v>281.02</v>
      </c>
      <c r="J527" s="99">
        <v>493.03</v>
      </c>
    </row>
    <row r="528" spans="2:9" s="67" customFormat="1" ht="14.25">
      <c r="B528" s="67" t="s">
        <v>624</v>
      </c>
      <c r="C528" s="67" t="s">
        <v>625</v>
      </c>
      <c r="D528" s="67" t="s">
        <v>505</v>
      </c>
      <c r="E528" s="67">
        <v>0.0005</v>
      </c>
      <c r="F528" s="68">
        <f>TRUNC(9.9,2)</f>
        <v>9.9</v>
      </c>
      <c r="G528" s="63">
        <f>TRUNC(E528*F528,2)</f>
        <v>0</v>
      </c>
      <c r="H528" s="63"/>
      <c r="I528" s="64"/>
    </row>
    <row r="529" spans="2:9" s="67" customFormat="1" ht="14.25">
      <c r="B529" s="67" t="s">
        <v>626</v>
      </c>
      <c r="C529" s="67" t="s">
        <v>627</v>
      </c>
      <c r="D529" s="67" t="s">
        <v>5</v>
      </c>
      <c r="E529" s="67">
        <v>0.02</v>
      </c>
      <c r="F529" s="68">
        <f>TRUNC(0.49,2)</f>
        <v>0.49</v>
      </c>
      <c r="G529" s="63">
        <f>TRUNC(E529*F529,2)</f>
        <v>0</v>
      </c>
      <c r="H529" s="63"/>
      <c r="I529" s="64"/>
    </row>
    <row r="530" spans="2:9" s="67" customFormat="1" ht="28.5">
      <c r="B530" s="67" t="s">
        <v>72</v>
      </c>
      <c r="C530" s="67" t="s">
        <v>73</v>
      </c>
      <c r="D530" s="67" t="s">
        <v>6</v>
      </c>
      <c r="E530" s="67">
        <v>0.03399</v>
      </c>
      <c r="F530" s="68">
        <f>TRUNC(13.08,2)</f>
        <v>13.08</v>
      </c>
      <c r="G530" s="63">
        <f>TRUNC(E530*F530,2)</f>
        <v>0.44</v>
      </c>
      <c r="H530" s="63"/>
      <c r="I530" s="64"/>
    </row>
    <row r="531" spans="5:9" s="67" customFormat="1" ht="14.25">
      <c r="E531" s="67" t="s">
        <v>7</v>
      </c>
      <c r="F531" s="68"/>
      <c r="G531" s="63">
        <f>TRUNC(SUM(G528:G530),2)</f>
        <v>0.44</v>
      </c>
      <c r="H531" s="63"/>
      <c r="I531" s="64"/>
    </row>
    <row r="532" spans="1:9" s="44" customFormat="1" ht="15.75">
      <c r="A532" s="53" t="s">
        <v>53</v>
      </c>
      <c r="B532" s="55"/>
      <c r="C532" s="54"/>
      <c r="D532" s="55"/>
      <c r="E532" s="55"/>
      <c r="F532" s="55" t="s">
        <v>62</v>
      </c>
      <c r="G532" s="55"/>
      <c r="H532" s="57">
        <f>H527+H524+H520+H513+H502</f>
        <v>25223.25</v>
      </c>
      <c r="I532" s="57">
        <f>I527+I524+I520+I513+I502</f>
        <v>32729.93</v>
      </c>
    </row>
    <row r="533" spans="1:9" s="43" customFormat="1" ht="15.75">
      <c r="A533" s="43" t="s">
        <v>643</v>
      </c>
      <c r="B533" s="51"/>
      <c r="C533" s="52" t="s">
        <v>70</v>
      </c>
      <c r="D533" s="52"/>
      <c r="E533" s="52"/>
      <c r="F533" s="52"/>
      <c r="G533" s="52"/>
      <c r="H533" s="52"/>
      <c r="I533" s="50"/>
    </row>
    <row r="534" spans="1:9" s="99" customFormat="1" ht="28.5">
      <c r="A534" s="99" t="s">
        <v>644</v>
      </c>
      <c r="B534" s="99" t="s">
        <v>781</v>
      </c>
      <c r="C534" s="99" t="s">
        <v>185</v>
      </c>
      <c r="D534" s="99" t="s">
        <v>48</v>
      </c>
      <c r="E534" s="99">
        <v>0.985</v>
      </c>
      <c r="F534" s="100">
        <f>TRUNC(G536,2)</f>
        <v>11.32</v>
      </c>
      <c r="G534" s="101">
        <f>TRUNC(F534*1.2977,2)</f>
        <v>14.68</v>
      </c>
      <c r="H534" s="101">
        <f>TRUNC(F534*E534,2)</f>
        <v>11.15</v>
      </c>
      <c r="I534" s="102">
        <f>TRUNC(E534*G534,2)</f>
        <v>14.45</v>
      </c>
    </row>
    <row r="535" spans="2:9" s="67" customFormat="1" ht="42.75">
      <c r="B535" s="67" t="s">
        <v>782</v>
      </c>
      <c r="C535" s="67" t="s">
        <v>783</v>
      </c>
      <c r="D535" s="67" t="s">
        <v>52</v>
      </c>
      <c r="E535" s="67">
        <v>0.0843</v>
      </c>
      <c r="F535" s="68">
        <f>TRUNC(134.3,2)</f>
        <v>134.3</v>
      </c>
      <c r="G535" s="63">
        <f>TRUNC(E535*F535,2)</f>
        <v>11.32</v>
      </c>
      <c r="H535" s="63"/>
      <c r="I535" s="64"/>
    </row>
    <row r="536" spans="5:9" s="67" customFormat="1" ht="14.25">
      <c r="E536" s="67" t="s">
        <v>7</v>
      </c>
      <c r="F536" s="68"/>
      <c r="G536" s="63">
        <f>TRUNC(SUM(G535:G535),2)</f>
        <v>11.32</v>
      </c>
      <c r="H536" s="63"/>
      <c r="I536" s="64"/>
    </row>
    <row r="537" spans="1:9" s="99" customFormat="1" ht="14.25">
      <c r="A537" s="99" t="s">
        <v>645</v>
      </c>
      <c r="B537" s="99" t="s">
        <v>784</v>
      </c>
      <c r="C537" s="99" t="s">
        <v>186</v>
      </c>
      <c r="D537" s="99" t="s">
        <v>63</v>
      </c>
      <c r="E537" s="99">
        <v>5.91</v>
      </c>
      <c r="F537" s="100">
        <f>TRUNC(G539,2)</f>
        <v>0.6</v>
      </c>
      <c r="G537" s="101">
        <f>TRUNC(F537*1.2977,2)</f>
        <v>0.77</v>
      </c>
      <c r="H537" s="101">
        <f>TRUNC(F537*E537,2)</f>
        <v>3.54</v>
      </c>
      <c r="I537" s="102">
        <f>TRUNC(E537*G537,2)</f>
        <v>4.55</v>
      </c>
    </row>
    <row r="538" spans="2:9" s="67" customFormat="1" ht="42.75">
      <c r="B538" s="67" t="s">
        <v>782</v>
      </c>
      <c r="C538" s="67" t="s">
        <v>783</v>
      </c>
      <c r="D538" s="67" t="s">
        <v>52</v>
      </c>
      <c r="E538" s="67">
        <v>0.0045</v>
      </c>
      <c r="F538" s="68">
        <f>TRUNC(134.3,2)</f>
        <v>134.3</v>
      </c>
      <c r="G538" s="63">
        <f>TRUNC(E538*F538,2)</f>
        <v>0.6</v>
      </c>
      <c r="H538" s="63"/>
      <c r="I538" s="64"/>
    </row>
    <row r="539" spans="5:9" s="67" customFormat="1" ht="14.25">
      <c r="E539" s="67" t="s">
        <v>7</v>
      </c>
      <c r="F539" s="68"/>
      <c r="G539" s="63">
        <f>TRUNC(SUM(G538:G538),2)</f>
        <v>0.6</v>
      </c>
      <c r="H539" s="63"/>
      <c r="I539" s="64"/>
    </row>
    <row r="540" spans="1:9" s="99" customFormat="1" ht="57">
      <c r="A540" s="99" t="s">
        <v>646</v>
      </c>
      <c r="B540" s="99" t="s">
        <v>393</v>
      </c>
      <c r="C540" s="99" t="s">
        <v>394</v>
      </c>
      <c r="D540" s="99" t="s">
        <v>12</v>
      </c>
      <c r="E540" s="99">
        <v>7</v>
      </c>
      <c r="F540" s="100">
        <f>TRUNC(G543,2)</f>
        <v>238.08</v>
      </c>
      <c r="G540" s="101">
        <f>TRUNC(F540*1.2977,2)</f>
        <v>308.95</v>
      </c>
      <c r="H540" s="101">
        <f>TRUNC(F540*E540,2)</f>
        <v>1666.56</v>
      </c>
      <c r="I540" s="102">
        <f>TRUNC(E540*G540,2)</f>
        <v>2162.65</v>
      </c>
    </row>
    <row r="541" spans="2:9" s="67" customFormat="1" ht="28.5">
      <c r="B541" s="67" t="s">
        <v>72</v>
      </c>
      <c r="C541" s="67" t="s">
        <v>73</v>
      </c>
      <c r="D541" s="67" t="s">
        <v>6</v>
      </c>
      <c r="E541" s="67">
        <v>0.618</v>
      </c>
      <c r="F541" s="68">
        <f>TRUNC(13.08,2)</f>
        <v>13.08</v>
      </c>
      <c r="G541" s="63">
        <f>TRUNC(E541*F541,2)</f>
        <v>8.08</v>
      </c>
      <c r="H541" s="63"/>
      <c r="I541" s="64"/>
    </row>
    <row r="542" spans="2:9" s="67" customFormat="1" ht="28.5">
      <c r="B542" s="67" t="s">
        <v>395</v>
      </c>
      <c r="C542" s="67" t="s">
        <v>396</v>
      </c>
      <c r="D542" s="67" t="s">
        <v>12</v>
      </c>
      <c r="E542" s="67">
        <v>1</v>
      </c>
      <c r="F542" s="68">
        <f>TRUNC(230,2)</f>
        <v>230</v>
      </c>
      <c r="G542" s="63">
        <f>TRUNC(E542*F542,2)</f>
        <v>230</v>
      </c>
      <c r="H542" s="63"/>
      <c r="I542" s="64"/>
    </row>
    <row r="543" spans="5:9" s="67" customFormat="1" ht="14.25">
      <c r="E543" s="67" t="s">
        <v>7</v>
      </c>
      <c r="F543" s="68"/>
      <c r="G543" s="63">
        <f>TRUNC(SUM(G541:G542),2)</f>
        <v>238.08</v>
      </c>
      <c r="H543" s="63"/>
      <c r="I543" s="64"/>
    </row>
    <row r="544" spans="1:11" s="99" customFormat="1" ht="14.25">
      <c r="A544" s="99" t="s">
        <v>647</v>
      </c>
      <c r="B544" s="99" t="s">
        <v>785</v>
      </c>
      <c r="C544" s="99" t="s">
        <v>478</v>
      </c>
      <c r="D544" s="99" t="s">
        <v>1</v>
      </c>
      <c r="E544" s="99">
        <v>13.71</v>
      </c>
      <c r="F544" s="100">
        <f>TRUNC(G548,2)</f>
        <v>4</v>
      </c>
      <c r="G544" s="101">
        <f>TRUNC(F544*1.2977,2)</f>
        <v>5.19</v>
      </c>
      <c r="H544" s="101">
        <f>TRUNC(F544*E544,2)</f>
        <v>54.84</v>
      </c>
      <c r="I544" s="102">
        <f>TRUNC(E544*G544,2)</f>
        <v>71.15</v>
      </c>
      <c r="K544" s="99">
        <v>13.71</v>
      </c>
    </row>
    <row r="545" spans="2:9" s="67" customFormat="1" ht="14.25">
      <c r="B545" s="67" t="s">
        <v>722</v>
      </c>
      <c r="C545" s="67" t="s">
        <v>127</v>
      </c>
      <c r="D545" s="67" t="s">
        <v>6</v>
      </c>
      <c r="E545" s="67">
        <v>0.018</v>
      </c>
      <c r="F545" s="68">
        <f>TRUNC(19.85,2)</f>
        <v>19.85</v>
      </c>
      <c r="G545" s="63">
        <f>TRUNC(E545*F545,2)</f>
        <v>0.35</v>
      </c>
      <c r="H545" s="63"/>
      <c r="I545" s="64"/>
    </row>
    <row r="546" spans="2:9" s="67" customFormat="1" ht="28.5">
      <c r="B546" s="67" t="s">
        <v>786</v>
      </c>
      <c r="C546" s="67" t="s">
        <v>787</v>
      </c>
      <c r="D546" s="67" t="s">
        <v>52</v>
      </c>
      <c r="E546" s="67">
        <v>0.018</v>
      </c>
      <c r="F546" s="68">
        <f>TRUNC(138.79,2)</f>
        <v>138.79</v>
      </c>
      <c r="G546" s="63">
        <f>TRUNC(E546*F546,2)</f>
        <v>2.49</v>
      </c>
      <c r="H546" s="63"/>
      <c r="I546" s="64"/>
    </row>
    <row r="547" spans="2:9" s="67" customFormat="1" ht="42.75">
      <c r="B547" s="67" t="s">
        <v>788</v>
      </c>
      <c r="C547" s="67" t="s">
        <v>789</v>
      </c>
      <c r="D547" s="67" t="s">
        <v>52</v>
      </c>
      <c r="E547" s="67">
        <v>0.007</v>
      </c>
      <c r="F547" s="68">
        <f>TRUNC(165.94,2)</f>
        <v>165.94</v>
      </c>
      <c r="G547" s="63">
        <f>TRUNC(E547*F547,2)</f>
        <v>1.16</v>
      </c>
      <c r="H547" s="63"/>
      <c r="I547" s="64"/>
    </row>
    <row r="548" spans="5:9" s="67" customFormat="1" ht="14.25">
      <c r="E548" s="67" t="s">
        <v>7</v>
      </c>
      <c r="F548" s="68"/>
      <c r="G548" s="63">
        <f>TRUNC(SUM(G545:G547),2)</f>
        <v>4</v>
      </c>
      <c r="H548" s="63"/>
      <c r="I548" s="64"/>
    </row>
    <row r="549" spans="1:9" s="99" customFormat="1" ht="29.25">
      <c r="A549" s="99" t="s">
        <v>648</v>
      </c>
      <c r="B549" s="99" t="s">
        <v>790</v>
      </c>
      <c r="C549" s="99" t="s">
        <v>929</v>
      </c>
      <c r="D549" s="99" t="s">
        <v>479</v>
      </c>
      <c r="E549" s="99">
        <v>149</v>
      </c>
      <c r="F549" s="100">
        <f>TRUNC(G552,2)</f>
        <v>1.58</v>
      </c>
      <c r="G549" s="101">
        <f>TRUNC(F549*1.2977,2)</f>
        <v>2.05</v>
      </c>
      <c r="H549" s="101">
        <f>TRUNC(F549*E549,2)</f>
        <v>235.42</v>
      </c>
      <c r="I549" s="102">
        <f>TRUNC(E549*G549,2)</f>
        <v>305.45</v>
      </c>
    </row>
    <row r="550" spans="2:9" s="67" customFormat="1" ht="42.75">
      <c r="B550" s="67" t="s">
        <v>791</v>
      </c>
      <c r="C550" s="67" t="s">
        <v>792</v>
      </c>
      <c r="D550" s="67" t="s">
        <v>385</v>
      </c>
      <c r="E550" s="67">
        <v>0.0026</v>
      </c>
      <c r="F550" s="68">
        <f>TRUNC(36.14,2)</f>
        <v>36.14</v>
      </c>
      <c r="G550" s="63">
        <f>TRUNC(E550*F550,2)</f>
        <v>0.09</v>
      </c>
      <c r="H550" s="63"/>
      <c r="I550" s="64"/>
    </row>
    <row r="551" spans="2:9" s="67" customFormat="1" ht="42.75">
      <c r="B551" s="67" t="s">
        <v>793</v>
      </c>
      <c r="C551" s="67" t="s">
        <v>794</v>
      </c>
      <c r="D551" s="67" t="s">
        <v>52</v>
      </c>
      <c r="E551" s="67">
        <v>0.01042</v>
      </c>
      <c r="F551" s="68">
        <f>TRUNC(143.06,2)</f>
        <v>143.06</v>
      </c>
      <c r="G551" s="63">
        <f>TRUNC(E551*F551,2)</f>
        <v>1.49</v>
      </c>
      <c r="H551" s="63"/>
      <c r="I551" s="64"/>
    </row>
    <row r="552" spans="5:9" s="67" customFormat="1" ht="14.25">
      <c r="E552" s="67" t="s">
        <v>7</v>
      </c>
      <c r="F552" s="68"/>
      <c r="G552" s="63">
        <f>TRUNC(SUM(G550:G551),2)</f>
        <v>1.58</v>
      </c>
      <c r="H552" s="103"/>
      <c r="I552" s="104"/>
    </row>
    <row r="553" spans="1:9" s="99" customFormat="1" ht="28.5">
      <c r="A553" s="99" t="s">
        <v>913</v>
      </c>
      <c r="B553" s="99" t="s">
        <v>554</v>
      </c>
      <c r="C553" s="99" t="s">
        <v>555</v>
      </c>
      <c r="D553" s="99" t="s">
        <v>1</v>
      </c>
      <c r="E553" s="99">
        <v>0.6</v>
      </c>
      <c r="F553" s="100">
        <f>TRUNC(G555,2)</f>
        <v>17.87</v>
      </c>
      <c r="G553" s="101">
        <f>TRUNC(F553*1.2977,2)</f>
        <v>23.18</v>
      </c>
      <c r="H553" s="101">
        <f>TRUNC(F553*E553,2)</f>
        <v>10.72</v>
      </c>
      <c r="I553" s="102">
        <f>TRUNC(E553*G553,2)</f>
        <v>13.9</v>
      </c>
    </row>
    <row r="554" spans="2:9" s="67" customFormat="1" ht="14.25">
      <c r="B554" s="67" t="s">
        <v>188</v>
      </c>
      <c r="C554" s="67" t="s">
        <v>189</v>
      </c>
      <c r="D554" s="67" t="s">
        <v>6</v>
      </c>
      <c r="E554" s="67">
        <v>1.1844999999999999</v>
      </c>
      <c r="F554" s="68">
        <f>TRUNC(15.09,2)</f>
        <v>15.09</v>
      </c>
      <c r="G554" s="63">
        <f>TRUNC(E554*F554,2)</f>
        <v>17.87</v>
      </c>
      <c r="H554" s="63"/>
      <c r="I554" s="64"/>
    </row>
    <row r="555" spans="5:9" s="67" customFormat="1" ht="14.25">
      <c r="E555" s="67" t="s">
        <v>7</v>
      </c>
      <c r="F555" s="68"/>
      <c r="G555" s="63">
        <f>TRUNC(SUM(G554:G554),2)</f>
        <v>17.87</v>
      </c>
      <c r="H555" s="63"/>
      <c r="I555" s="64"/>
    </row>
    <row r="556" spans="1:9" s="44" customFormat="1" ht="15.75">
      <c r="A556" s="53" t="s">
        <v>53</v>
      </c>
      <c r="B556" s="55"/>
      <c r="C556" s="54"/>
      <c r="D556" s="55"/>
      <c r="E556" s="55"/>
      <c r="F556" s="55" t="s">
        <v>649</v>
      </c>
      <c r="G556" s="55"/>
      <c r="H556" s="56">
        <f>H537+H534+H540+H544+H549+H553</f>
        <v>1982.23</v>
      </c>
      <c r="I556" s="56">
        <f>I537+I534+I540+I544+I549+I553</f>
        <v>2572.15</v>
      </c>
    </row>
    <row r="557" spans="1:9" s="44" customFormat="1" ht="15.75">
      <c r="A557" s="53" t="s">
        <v>53</v>
      </c>
      <c r="B557" s="55"/>
      <c r="C557" s="54"/>
      <c r="D557" s="55"/>
      <c r="E557" s="55"/>
      <c r="F557" s="55" t="s">
        <v>64</v>
      </c>
      <c r="G557" s="55"/>
      <c r="H557" s="57">
        <f>H500+H224+H209+H134+H267+H556+H374+H532</f>
        <v>117073.81999999999</v>
      </c>
      <c r="I557" s="57">
        <f>I500+I224+I209+I134+I267+I556+I374+I532</f>
        <v>151915.8</v>
      </c>
    </row>
    <row r="558" spans="1:9" s="44" customFormat="1" ht="15.75">
      <c r="A558" s="53"/>
      <c r="B558" s="55"/>
      <c r="C558" s="54"/>
      <c r="D558" s="55"/>
      <c r="E558" s="55"/>
      <c r="F558" s="55"/>
      <c r="G558" s="55"/>
      <c r="H558" s="56"/>
      <c r="I558" s="57"/>
    </row>
    <row r="561" ht="15">
      <c r="C561"/>
    </row>
    <row r="562" ht="15">
      <c r="C562"/>
    </row>
    <row r="563" ht="15">
      <c r="C563"/>
    </row>
    <row r="564" ht="15">
      <c r="C564"/>
    </row>
  </sheetData>
  <sheetProtection/>
  <mergeCells count="13">
    <mergeCell ref="A9:G9"/>
    <mergeCell ref="A10:A11"/>
    <mergeCell ref="B10:B11"/>
    <mergeCell ref="C10:C11"/>
    <mergeCell ref="D10:D11"/>
    <mergeCell ref="E10:E11"/>
    <mergeCell ref="F10:I10"/>
    <mergeCell ref="D3:G3"/>
    <mergeCell ref="D4:G4"/>
    <mergeCell ref="D5:G5"/>
    <mergeCell ref="D6:G6"/>
    <mergeCell ref="D7:G7"/>
    <mergeCell ref="D8:G8"/>
  </mergeCells>
  <printOptions/>
  <pageMargins left="0.5118110236220472" right="0.5118110236220472" top="0.7874015748031497" bottom="0.7874015748031497" header="0.31496062992125984" footer="0.31496062992125984"/>
  <pageSetup horizontalDpi="300" verticalDpi="300" orientation="portrait" paperSize="9" scale="39" r:id="rId2"/>
  <headerFooter>
    <oddFooter>&amp;C&amp;A&amp;RPágina &amp;P de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4"/>
  <sheetViews>
    <sheetView view="pageBreakPreview" zoomScale="70" zoomScaleSheetLayoutView="70" zoomScalePageLayoutView="0" workbookViewId="0" topLeftCell="A1">
      <selection activeCell="C18" sqref="C18"/>
    </sheetView>
  </sheetViews>
  <sheetFormatPr defaultColWidth="9.140625" defaultRowHeight="15"/>
  <cols>
    <col min="2" max="2" width="23.421875" style="0" customWidth="1"/>
    <col min="3" max="3" width="104.00390625" style="1" customWidth="1"/>
    <col min="4" max="4" width="11.140625" style="0" customWidth="1"/>
    <col min="5" max="5" width="10.7109375" style="0" bestFit="1" customWidth="1"/>
    <col min="6" max="6" width="19.00390625" style="0" bestFit="1" customWidth="1"/>
    <col min="7" max="7" width="13.8515625" style="0" bestFit="1" customWidth="1"/>
    <col min="8" max="8" width="16.8515625" style="0" bestFit="1" customWidth="1"/>
    <col min="9" max="9" width="17.140625" style="0" bestFit="1" customWidth="1"/>
    <col min="12" max="12" width="14.28125" style="0" bestFit="1" customWidth="1"/>
    <col min="13" max="14" width="14.421875" style="0" bestFit="1" customWidth="1"/>
  </cols>
  <sheetData>
    <row r="1" spans="1:7" ht="15.75">
      <c r="A1" s="2"/>
      <c r="B1" s="3"/>
      <c r="C1" s="4" t="s">
        <v>26</v>
      </c>
      <c r="D1" s="5"/>
      <c r="E1" s="6"/>
      <c r="F1" s="7"/>
      <c r="G1" s="8"/>
    </row>
    <row r="2" spans="1:7" ht="15.75">
      <c r="A2" s="9"/>
      <c r="B2" s="10"/>
      <c r="C2" s="11" t="s">
        <v>27</v>
      </c>
      <c r="D2" s="12"/>
      <c r="E2" s="13"/>
      <c r="F2" s="14"/>
      <c r="G2" s="15"/>
    </row>
    <row r="3" spans="1:7" ht="15.75">
      <c r="A3" s="9"/>
      <c r="B3" s="10"/>
      <c r="C3" s="11" t="s">
        <v>28</v>
      </c>
      <c r="D3" s="124" t="s">
        <v>542</v>
      </c>
      <c r="E3" s="125"/>
      <c r="F3" s="125"/>
      <c r="G3" s="126"/>
    </row>
    <row r="4" spans="1:7" ht="15.75" customHeight="1">
      <c r="A4" s="9"/>
      <c r="B4" s="10"/>
      <c r="C4" s="16" t="s">
        <v>652</v>
      </c>
      <c r="D4" s="127" t="s">
        <v>795</v>
      </c>
      <c r="E4" s="128"/>
      <c r="F4" s="128"/>
      <c r="G4" s="129"/>
    </row>
    <row r="5" spans="1:7" ht="15.75">
      <c r="A5" s="9"/>
      <c r="B5" s="10"/>
      <c r="C5" s="45" t="s">
        <v>540</v>
      </c>
      <c r="D5" s="130" t="s">
        <v>178</v>
      </c>
      <c r="E5" s="131"/>
      <c r="F5" s="131"/>
      <c r="G5" s="132"/>
    </row>
    <row r="6" spans="1:7" ht="15.75">
      <c r="A6" s="9"/>
      <c r="B6" s="10"/>
      <c r="C6" s="17" t="s">
        <v>796</v>
      </c>
      <c r="D6" s="133" t="s">
        <v>179</v>
      </c>
      <c r="E6" s="134"/>
      <c r="F6" s="134"/>
      <c r="G6" s="135"/>
    </row>
    <row r="7" spans="1:7" ht="15.75">
      <c r="A7" s="9"/>
      <c r="B7" s="10"/>
      <c r="C7" s="46"/>
      <c r="D7" s="133" t="s">
        <v>703</v>
      </c>
      <c r="E7" s="134"/>
      <c r="F7" s="134"/>
      <c r="G7" s="135"/>
    </row>
    <row r="8" spans="1:7" ht="15.75">
      <c r="A8" s="18"/>
      <c r="B8" s="19"/>
      <c r="C8" s="20"/>
      <c r="D8" s="136" t="s">
        <v>65</v>
      </c>
      <c r="E8" s="137"/>
      <c r="F8" s="137"/>
      <c r="G8" s="138"/>
    </row>
    <row r="9" spans="1:7" ht="15">
      <c r="A9" s="139" t="s">
        <v>930</v>
      </c>
      <c r="B9" s="140"/>
      <c r="C9" s="140"/>
      <c r="D9" s="140"/>
      <c r="E9" s="140"/>
      <c r="F9" s="140"/>
      <c r="G9" s="140"/>
    </row>
    <row r="10" spans="1:9" s="48" customFormat="1" ht="12.75" customHeight="1">
      <c r="A10" s="141" t="s">
        <v>30</v>
      </c>
      <c r="B10" s="142" t="s">
        <v>66</v>
      </c>
      <c r="C10" s="142" t="s">
        <v>31</v>
      </c>
      <c r="D10" s="141" t="s">
        <v>12</v>
      </c>
      <c r="E10" s="143" t="s">
        <v>32</v>
      </c>
      <c r="F10" s="144" t="s">
        <v>33</v>
      </c>
      <c r="G10" s="144"/>
      <c r="H10" s="144"/>
      <c r="I10" s="144"/>
    </row>
    <row r="11" spans="1:9" s="48" customFormat="1" ht="12.75" customHeight="1">
      <c r="A11" s="141"/>
      <c r="B11" s="142"/>
      <c r="C11" s="142"/>
      <c r="D11" s="141"/>
      <c r="E11" s="143"/>
      <c r="F11" s="49" t="s">
        <v>107</v>
      </c>
      <c r="G11" s="49" t="s">
        <v>108</v>
      </c>
      <c r="H11" s="49" t="s">
        <v>109</v>
      </c>
      <c r="I11" s="47" t="s">
        <v>110</v>
      </c>
    </row>
    <row r="12" spans="1:9" s="43" customFormat="1" ht="15.75">
      <c r="A12" s="43" t="s">
        <v>18</v>
      </c>
      <c r="B12" s="51"/>
      <c r="C12" s="52" t="s">
        <v>19</v>
      </c>
      <c r="D12" s="52"/>
      <c r="E12" s="52"/>
      <c r="F12" s="52"/>
      <c r="G12" s="52"/>
      <c r="H12" s="52"/>
      <c r="I12" s="50"/>
    </row>
    <row r="13" spans="1:11" s="65" customFormat="1" ht="42.75">
      <c r="A13" s="107" t="s">
        <v>8</v>
      </c>
      <c r="B13" s="108" t="s">
        <v>103</v>
      </c>
      <c r="C13" s="109" t="s">
        <v>104</v>
      </c>
      <c r="D13" s="110" t="s">
        <v>0</v>
      </c>
      <c r="E13" s="111">
        <v>6</v>
      </c>
      <c r="F13" s="112">
        <f>TRUNC('DESONERADA18X10F '!F13,2)</f>
        <v>169.7</v>
      </c>
      <c r="G13" s="101">
        <f aca="true" t="shared" si="0" ref="G13:G28">TRUNC(F13*1.2977,2)</f>
        <v>220.21</v>
      </c>
      <c r="H13" s="101">
        <f aca="true" t="shared" si="1" ref="H13:H28">TRUNC(F13*E13,2)</f>
        <v>1018.2</v>
      </c>
      <c r="I13" s="102">
        <f aca="true" t="shared" si="2" ref="I13:I28">TRUNC(E13*G13,2)</f>
        <v>1321.26</v>
      </c>
      <c r="K13" s="66"/>
    </row>
    <row r="14" spans="1:11" s="65" customFormat="1" ht="57">
      <c r="A14" s="107" t="s">
        <v>9</v>
      </c>
      <c r="B14" s="108" t="s">
        <v>181</v>
      </c>
      <c r="C14" s="109" t="s">
        <v>182</v>
      </c>
      <c r="D14" s="110" t="s">
        <v>0</v>
      </c>
      <c r="E14" s="113">
        <v>350.36</v>
      </c>
      <c r="F14" s="112">
        <f>TRUNC('DESONERADA18X10F '!F20,2)</f>
        <v>18.01</v>
      </c>
      <c r="G14" s="101">
        <f t="shared" si="0"/>
        <v>23.37</v>
      </c>
      <c r="H14" s="101">
        <f t="shared" si="1"/>
        <v>6309.98</v>
      </c>
      <c r="I14" s="102">
        <f t="shared" si="2"/>
        <v>8187.91</v>
      </c>
      <c r="J14" s="65">
        <v>350.36</v>
      </c>
      <c r="K14" s="66"/>
    </row>
    <row r="15" spans="1:11" s="65" customFormat="1" ht="57">
      <c r="A15" s="107" t="s">
        <v>10</v>
      </c>
      <c r="B15" s="108" t="s">
        <v>130</v>
      </c>
      <c r="C15" s="99" t="s">
        <v>131</v>
      </c>
      <c r="D15" s="110" t="s">
        <v>0</v>
      </c>
      <c r="E15" s="112">
        <v>8</v>
      </c>
      <c r="F15" s="112">
        <f>TRUNC('DESONERADA18X10F '!F27,2)</f>
        <v>344.06</v>
      </c>
      <c r="G15" s="101">
        <f t="shared" si="0"/>
        <v>446.48</v>
      </c>
      <c r="H15" s="101">
        <f t="shared" si="1"/>
        <v>2752.48</v>
      </c>
      <c r="I15" s="102">
        <f t="shared" si="2"/>
        <v>3571.84</v>
      </c>
      <c r="K15" s="66"/>
    </row>
    <row r="16" spans="1:11" s="65" customFormat="1" ht="42.75">
      <c r="A16" s="107" t="s">
        <v>11</v>
      </c>
      <c r="B16" s="108" t="s">
        <v>148</v>
      </c>
      <c r="C16" s="99" t="s">
        <v>149</v>
      </c>
      <c r="D16" s="110" t="s">
        <v>0</v>
      </c>
      <c r="E16" s="101">
        <v>258.94</v>
      </c>
      <c r="F16" s="112">
        <f>TRUNC('DESONERADA18X10F '!F46,2)</f>
        <v>8.23</v>
      </c>
      <c r="G16" s="101">
        <f t="shared" si="0"/>
        <v>10.68</v>
      </c>
      <c r="H16" s="101">
        <f t="shared" si="1"/>
        <v>2131.07</v>
      </c>
      <c r="I16" s="102">
        <f t="shared" si="2"/>
        <v>2765.47</v>
      </c>
      <c r="J16" s="65">
        <v>258.94</v>
      </c>
      <c r="K16" s="66"/>
    </row>
    <row r="17" spans="1:11" s="65" customFormat="1" ht="28.5">
      <c r="A17" s="107" t="s">
        <v>242</v>
      </c>
      <c r="B17" s="108" t="s">
        <v>521</v>
      </c>
      <c r="C17" s="99" t="s">
        <v>513</v>
      </c>
      <c r="D17" s="110" t="s">
        <v>3</v>
      </c>
      <c r="E17" s="112">
        <v>25.4</v>
      </c>
      <c r="F17" s="112">
        <f>TRUNC('DESONERADA18X10F '!F51,2)</f>
        <v>10.1</v>
      </c>
      <c r="G17" s="101">
        <f t="shared" si="0"/>
        <v>13.1</v>
      </c>
      <c r="H17" s="101">
        <f t="shared" si="1"/>
        <v>256.54</v>
      </c>
      <c r="I17" s="102">
        <f t="shared" si="2"/>
        <v>332.74</v>
      </c>
      <c r="K17" s="66"/>
    </row>
    <row r="18" spans="1:11" s="65" customFormat="1" ht="42.75">
      <c r="A18" s="107" t="s">
        <v>374</v>
      </c>
      <c r="B18" s="108" t="s">
        <v>522</v>
      </c>
      <c r="C18" s="99" t="s">
        <v>500</v>
      </c>
      <c r="D18" s="110" t="s">
        <v>6</v>
      </c>
      <c r="E18" s="112">
        <v>16</v>
      </c>
      <c r="F18" s="112">
        <f>TRUNC('DESONERADA18X10F '!F54,2)</f>
        <v>48.68</v>
      </c>
      <c r="G18" s="101">
        <f t="shared" si="0"/>
        <v>63.17</v>
      </c>
      <c r="H18" s="101">
        <f t="shared" si="1"/>
        <v>778.88</v>
      </c>
      <c r="I18" s="102">
        <f t="shared" si="2"/>
        <v>1010.72</v>
      </c>
      <c r="J18" s="102"/>
      <c r="K18" s="66"/>
    </row>
    <row r="19" spans="1:11" s="65" customFormat="1" ht="14.25">
      <c r="A19" s="107" t="s">
        <v>534</v>
      </c>
      <c r="B19" s="108" t="s">
        <v>704</v>
      </c>
      <c r="C19" s="99" t="s">
        <v>443</v>
      </c>
      <c r="D19" s="110" t="s">
        <v>12</v>
      </c>
      <c r="E19" s="112">
        <v>1</v>
      </c>
      <c r="F19" s="112">
        <f>TRUNC('DESONERADA18X10F '!F61,2)</f>
        <v>1473.79</v>
      </c>
      <c r="G19" s="101">
        <f t="shared" si="0"/>
        <v>1912.53</v>
      </c>
      <c r="H19" s="101">
        <f t="shared" si="1"/>
        <v>1473.79</v>
      </c>
      <c r="I19" s="102">
        <f t="shared" si="2"/>
        <v>1912.53</v>
      </c>
      <c r="K19" s="66"/>
    </row>
    <row r="20" spans="1:11" s="65" customFormat="1" ht="42.75">
      <c r="A20" s="107" t="s">
        <v>535</v>
      </c>
      <c r="B20" s="108" t="s">
        <v>442</v>
      </c>
      <c r="C20" s="99" t="s">
        <v>461</v>
      </c>
      <c r="D20" s="110" t="s">
        <v>12</v>
      </c>
      <c r="E20" s="112">
        <v>1</v>
      </c>
      <c r="F20" s="112">
        <f>TRUNC('DESONERADA18X10F '!F82,2)</f>
        <v>2946.48</v>
      </c>
      <c r="G20" s="101">
        <f t="shared" si="0"/>
        <v>3823.64</v>
      </c>
      <c r="H20" s="101">
        <f t="shared" si="1"/>
        <v>2946.48</v>
      </c>
      <c r="I20" s="102">
        <f t="shared" si="2"/>
        <v>3823.64</v>
      </c>
      <c r="K20" s="66"/>
    </row>
    <row r="21" spans="1:11" s="65" customFormat="1" ht="42.75">
      <c r="A21" s="107" t="s">
        <v>482</v>
      </c>
      <c r="B21" s="108" t="s">
        <v>380</v>
      </c>
      <c r="C21" s="99" t="s">
        <v>381</v>
      </c>
      <c r="D21" s="110" t="s">
        <v>3</v>
      </c>
      <c r="E21" s="112">
        <v>60.4</v>
      </c>
      <c r="F21" s="112">
        <f>TRUNC('DESONERADA18X10F '!F100,2)</f>
        <v>16.19</v>
      </c>
      <c r="G21" s="101">
        <f t="shared" si="0"/>
        <v>21</v>
      </c>
      <c r="H21" s="101">
        <f t="shared" si="1"/>
        <v>977.87</v>
      </c>
      <c r="I21" s="102">
        <f t="shared" si="2"/>
        <v>1268.4</v>
      </c>
      <c r="K21" s="66"/>
    </row>
    <row r="22" spans="1:11" s="65" customFormat="1" ht="29.25">
      <c r="A22" s="107" t="s">
        <v>483</v>
      </c>
      <c r="B22" s="108" t="s">
        <v>724</v>
      </c>
      <c r="C22" s="99" t="s">
        <v>924</v>
      </c>
      <c r="D22" s="110" t="s">
        <v>0</v>
      </c>
      <c r="E22" s="112">
        <v>111.8</v>
      </c>
      <c r="F22" s="112">
        <f>TRUNC('DESONERADA18X10F '!F110,2)</f>
        <v>14.63</v>
      </c>
      <c r="G22" s="101">
        <f t="shared" si="0"/>
        <v>18.98</v>
      </c>
      <c r="H22" s="101">
        <f t="shared" si="1"/>
        <v>1635.63</v>
      </c>
      <c r="I22" s="102">
        <f t="shared" si="2"/>
        <v>2121.96</v>
      </c>
      <c r="J22" s="65">
        <v>111.8</v>
      </c>
      <c r="K22" s="66"/>
    </row>
    <row r="23" spans="1:11" s="65" customFormat="1" ht="32.25" customHeight="1">
      <c r="A23" s="107" t="s">
        <v>484</v>
      </c>
      <c r="B23" s="108" t="s">
        <v>724</v>
      </c>
      <c r="C23" s="99" t="s">
        <v>925</v>
      </c>
      <c r="D23" s="110" t="s">
        <v>0</v>
      </c>
      <c r="E23" s="112">
        <v>47.65</v>
      </c>
      <c r="F23" s="112">
        <f>TRUNC('DESONERADA18X10F '!F114,2)</f>
        <v>14.63</v>
      </c>
      <c r="G23" s="101">
        <f t="shared" si="0"/>
        <v>18.98</v>
      </c>
      <c r="H23" s="101">
        <f t="shared" si="1"/>
        <v>697.11</v>
      </c>
      <c r="I23" s="102">
        <f t="shared" si="2"/>
        <v>904.39</v>
      </c>
      <c r="J23" s="65">
        <v>47.65</v>
      </c>
      <c r="K23" s="66"/>
    </row>
    <row r="24" spans="1:11" s="65" customFormat="1" ht="43.5">
      <c r="A24" s="107" t="s">
        <v>536</v>
      </c>
      <c r="B24" s="108" t="s">
        <v>532</v>
      </c>
      <c r="C24" s="99" t="s">
        <v>926</v>
      </c>
      <c r="D24" s="110" t="s">
        <v>3</v>
      </c>
      <c r="E24" s="112">
        <v>104.06</v>
      </c>
      <c r="F24" s="112">
        <f>TRUNC('DESONERADA18X10F '!F118,2)</f>
        <v>14.81</v>
      </c>
      <c r="G24" s="101">
        <f t="shared" si="0"/>
        <v>19.21</v>
      </c>
      <c r="H24" s="101">
        <f t="shared" si="1"/>
        <v>1541.12</v>
      </c>
      <c r="I24" s="102">
        <f t="shared" si="2"/>
        <v>1998.99</v>
      </c>
      <c r="K24" s="66"/>
    </row>
    <row r="25" spans="1:11" s="65" customFormat="1" ht="43.5">
      <c r="A25" s="107" t="s">
        <v>635</v>
      </c>
      <c r="B25" s="108" t="s">
        <v>532</v>
      </c>
      <c r="C25" s="99" t="s">
        <v>927</v>
      </c>
      <c r="D25" s="110" t="s">
        <v>3</v>
      </c>
      <c r="E25" s="112">
        <v>34.25</v>
      </c>
      <c r="F25" s="112">
        <f>TRUNC('DESONERADA18X10F '!F121,2)</f>
        <v>14.81</v>
      </c>
      <c r="G25" s="101">
        <f t="shared" si="0"/>
        <v>19.21</v>
      </c>
      <c r="H25" s="101">
        <f t="shared" si="1"/>
        <v>507.24</v>
      </c>
      <c r="I25" s="102">
        <f t="shared" si="2"/>
        <v>657.94</v>
      </c>
      <c r="J25" s="65">
        <v>34.25</v>
      </c>
      <c r="K25" s="66"/>
    </row>
    <row r="26" spans="1:11" s="65" customFormat="1" ht="42.75">
      <c r="A26" s="107" t="s">
        <v>636</v>
      </c>
      <c r="B26" s="108" t="s">
        <v>537</v>
      </c>
      <c r="C26" s="99" t="s">
        <v>538</v>
      </c>
      <c r="D26" s="110" t="s">
        <v>12</v>
      </c>
      <c r="E26" s="112">
        <v>4</v>
      </c>
      <c r="F26" s="112">
        <f>TRUNC('DESONERADA18X10F '!F124,2)</f>
        <v>134.9</v>
      </c>
      <c r="G26" s="101">
        <f t="shared" si="0"/>
        <v>175.05</v>
      </c>
      <c r="H26" s="101">
        <f t="shared" si="1"/>
        <v>539.6</v>
      </c>
      <c r="I26" s="102">
        <f t="shared" si="2"/>
        <v>700.2</v>
      </c>
      <c r="K26" s="66"/>
    </row>
    <row r="27" spans="1:11" s="65" customFormat="1" ht="29.25">
      <c r="A27" s="107" t="s">
        <v>889</v>
      </c>
      <c r="B27" s="108" t="s">
        <v>914</v>
      </c>
      <c r="C27" s="99" t="s">
        <v>893</v>
      </c>
      <c r="D27" s="110" t="s">
        <v>1</v>
      </c>
      <c r="E27" s="112">
        <v>1.7</v>
      </c>
      <c r="F27" s="112">
        <f>TRUNC('DESONERADA18X10F '!F127,2)</f>
        <v>183.96</v>
      </c>
      <c r="G27" s="101">
        <f t="shared" si="0"/>
        <v>238.72</v>
      </c>
      <c r="H27" s="101">
        <f t="shared" si="1"/>
        <v>312.73</v>
      </c>
      <c r="I27" s="102">
        <f t="shared" si="2"/>
        <v>405.82</v>
      </c>
      <c r="K27" s="66"/>
    </row>
    <row r="28" spans="1:11" s="65" customFormat="1" ht="29.25">
      <c r="A28" s="107" t="s">
        <v>892</v>
      </c>
      <c r="B28" s="108" t="s">
        <v>915</v>
      </c>
      <c r="C28" s="99" t="s">
        <v>894</v>
      </c>
      <c r="D28" s="110" t="s">
        <v>3</v>
      </c>
      <c r="E28" s="112">
        <v>1.8</v>
      </c>
      <c r="F28" s="112">
        <f>TRUNC('DESONERADA18X10F '!F131,2)</f>
        <v>15.49</v>
      </c>
      <c r="G28" s="101">
        <f t="shared" si="0"/>
        <v>20.1</v>
      </c>
      <c r="H28" s="101">
        <f t="shared" si="1"/>
        <v>27.88</v>
      </c>
      <c r="I28" s="102">
        <f t="shared" si="2"/>
        <v>36.18</v>
      </c>
      <c r="K28" s="66"/>
    </row>
    <row r="29" spans="1:9" s="44" customFormat="1" ht="15.75">
      <c r="A29" s="53" t="s">
        <v>53</v>
      </c>
      <c r="B29" s="55"/>
      <c r="C29" s="54"/>
      <c r="D29" s="55"/>
      <c r="E29" s="55"/>
      <c r="F29" s="55"/>
      <c r="G29" s="55" t="s">
        <v>57</v>
      </c>
      <c r="H29" s="57">
        <f>H15+H14+H13+H16+H17+H18+H21+H19+H20+H22+H24+H26+H23+H25+H27+H28</f>
        <v>23906.600000000002</v>
      </c>
      <c r="I29" s="57">
        <f>I15+I14+I13+I16+I17+I18+I21+I19+I20+I22+I24+I26+I23+I25+I27+I28</f>
        <v>31019.989999999998</v>
      </c>
    </row>
    <row r="30" spans="1:9" s="43" customFormat="1" ht="15.75">
      <c r="A30" s="43" t="s">
        <v>20</v>
      </c>
      <c r="B30" s="51"/>
      <c r="C30" s="52" t="s">
        <v>371</v>
      </c>
      <c r="D30" s="52"/>
      <c r="E30" s="52"/>
      <c r="F30" s="52"/>
      <c r="G30" s="52"/>
      <c r="H30" s="52"/>
      <c r="I30" s="50"/>
    </row>
    <row r="31" spans="1:10" s="99" customFormat="1" ht="85.5">
      <c r="A31" s="99" t="s">
        <v>54</v>
      </c>
      <c r="B31" s="99" t="s">
        <v>726</v>
      </c>
      <c r="C31" s="99" t="s">
        <v>400</v>
      </c>
      <c r="D31" s="101" t="s">
        <v>0</v>
      </c>
      <c r="E31" s="101">
        <v>212.01</v>
      </c>
      <c r="F31" s="101">
        <f>TRUNC('DESONERADA18X10F '!F136,2)</f>
        <v>81.93</v>
      </c>
      <c r="G31" s="101">
        <f aca="true" t="shared" si="3" ref="G31:G38">TRUNC(F31*1.2977,2)</f>
        <v>106.32</v>
      </c>
      <c r="H31" s="101">
        <f aca="true" t="shared" si="4" ref="H31:H38">TRUNC(F31*E31,2)</f>
        <v>17369.97</v>
      </c>
      <c r="I31" s="102">
        <f aca="true" t="shared" si="5" ref="I31:I38">TRUNC(E31*G31,2)</f>
        <v>22540.9</v>
      </c>
      <c r="J31" s="99">
        <v>212.01</v>
      </c>
    </row>
    <row r="32" spans="1:9" s="99" customFormat="1" ht="57">
      <c r="A32" s="99" t="s">
        <v>375</v>
      </c>
      <c r="B32" s="99" t="s">
        <v>342</v>
      </c>
      <c r="C32" s="99" t="s">
        <v>343</v>
      </c>
      <c r="D32" s="99" t="s">
        <v>0</v>
      </c>
      <c r="E32" s="99">
        <v>1.5</v>
      </c>
      <c r="F32" s="100">
        <f>TRUNC('DESONERADA18X10F '!F152,2)</f>
        <v>70.05</v>
      </c>
      <c r="G32" s="101">
        <f t="shared" si="3"/>
        <v>90.9</v>
      </c>
      <c r="H32" s="101">
        <f t="shared" si="4"/>
        <v>105.07</v>
      </c>
      <c r="I32" s="102">
        <f t="shared" si="5"/>
        <v>136.35</v>
      </c>
    </row>
    <row r="33" spans="1:9" s="99" customFormat="1" ht="42.75">
      <c r="A33" s="99" t="s">
        <v>376</v>
      </c>
      <c r="B33" s="99" t="s">
        <v>350</v>
      </c>
      <c r="C33" s="99" t="s">
        <v>351</v>
      </c>
      <c r="D33" s="99" t="s">
        <v>0</v>
      </c>
      <c r="E33" s="99">
        <v>3.6</v>
      </c>
      <c r="F33" s="100">
        <f>TRUNC('DESONERADA18X10F '!F159,2)</f>
        <v>23.72</v>
      </c>
      <c r="G33" s="101">
        <f t="shared" si="3"/>
        <v>30.78</v>
      </c>
      <c r="H33" s="101">
        <f t="shared" si="4"/>
        <v>85.39</v>
      </c>
      <c r="I33" s="102">
        <f t="shared" si="5"/>
        <v>110.8</v>
      </c>
    </row>
    <row r="34" spans="1:9" s="99" customFormat="1" ht="28.5">
      <c r="A34" s="99" t="s">
        <v>377</v>
      </c>
      <c r="B34" s="99" t="s">
        <v>354</v>
      </c>
      <c r="C34" s="99" t="s">
        <v>355</v>
      </c>
      <c r="D34" s="99" t="s">
        <v>1</v>
      </c>
      <c r="E34" s="99">
        <v>0.05</v>
      </c>
      <c r="F34" s="100">
        <f>TRUNC('DESONERADA18X10F '!F165,2)</f>
        <v>1424.23</v>
      </c>
      <c r="G34" s="101">
        <f t="shared" si="3"/>
        <v>1848.22</v>
      </c>
      <c r="H34" s="101">
        <f t="shared" si="4"/>
        <v>71.21</v>
      </c>
      <c r="I34" s="102">
        <f t="shared" si="5"/>
        <v>92.41</v>
      </c>
    </row>
    <row r="35" spans="1:9" s="99" customFormat="1" ht="42.75">
      <c r="A35" s="99" t="s">
        <v>525</v>
      </c>
      <c r="B35" s="99" t="s">
        <v>740</v>
      </c>
      <c r="C35" s="99" t="s">
        <v>514</v>
      </c>
      <c r="D35" s="99" t="s">
        <v>1</v>
      </c>
      <c r="E35" s="99">
        <v>0.4</v>
      </c>
      <c r="F35" s="100">
        <f>TRUNC('DESONERADA18X10F '!F176,2)</f>
        <v>506.62</v>
      </c>
      <c r="G35" s="101">
        <f t="shared" si="3"/>
        <v>657.44</v>
      </c>
      <c r="H35" s="101">
        <f t="shared" si="4"/>
        <v>202.64</v>
      </c>
      <c r="I35" s="102">
        <f t="shared" si="5"/>
        <v>262.97</v>
      </c>
    </row>
    <row r="36" spans="1:9" s="99" customFormat="1" ht="42.75">
      <c r="A36" s="99" t="s">
        <v>526</v>
      </c>
      <c r="B36" s="99" t="s">
        <v>733</v>
      </c>
      <c r="C36" s="99" t="s">
        <v>516</v>
      </c>
      <c r="D36" s="99" t="s">
        <v>5</v>
      </c>
      <c r="E36" s="99">
        <v>40.13</v>
      </c>
      <c r="F36" s="100">
        <f>TRUNC('DESONERADA18X10F '!F184,2)</f>
        <v>11.16</v>
      </c>
      <c r="G36" s="101">
        <f t="shared" si="3"/>
        <v>14.48</v>
      </c>
      <c r="H36" s="101">
        <f t="shared" si="4"/>
        <v>447.85</v>
      </c>
      <c r="I36" s="102">
        <f t="shared" si="5"/>
        <v>581.08</v>
      </c>
    </row>
    <row r="37" spans="1:9" s="99" customFormat="1" ht="43.5">
      <c r="A37" s="99" t="s">
        <v>904</v>
      </c>
      <c r="B37" s="99" t="s">
        <v>921</v>
      </c>
      <c r="C37" s="99" t="s">
        <v>922</v>
      </c>
      <c r="D37" s="99" t="s">
        <v>0</v>
      </c>
      <c r="E37" s="99">
        <v>20.56</v>
      </c>
      <c r="F37" s="100">
        <f>TRUNC('DESONERADA18X10F '!F191,2)</f>
        <v>69.85</v>
      </c>
      <c r="G37" s="101">
        <f t="shared" si="3"/>
        <v>90.64</v>
      </c>
      <c r="H37" s="101">
        <f t="shared" si="4"/>
        <v>1436.11</v>
      </c>
      <c r="I37" s="102">
        <f t="shared" si="5"/>
        <v>1863.55</v>
      </c>
    </row>
    <row r="38" spans="1:9" s="99" customFormat="1" ht="43.5">
      <c r="A38" s="99" t="s">
        <v>908</v>
      </c>
      <c r="B38" s="99" t="s">
        <v>740</v>
      </c>
      <c r="C38" s="99" t="s">
        <v>923</v>
      </c>
      <c r="D38" s="99" t="s">
        <v>1</v>
      </c>
      <c r="E38" s="99">
        <v>0.09</v>
      </c>
      <c r="F38" s="100">
        <f>TRUNC('DESONERADA18X10F '!F201,2)</f>
        <v>470.02</v>
      </c>
      <c r="G38" s="101">
        <f t="shared" si="3"/>
        <v>609.94</v>
      </c>
      <c r="H38" s="101">
        <f t="shared" si="4"/>
        <v>42.3</v>
      </c>
      <c r="I38" s="102">
        <f t="shared" si="5"/>
        <v>54.89</v>
      </c>
    </row>
    <row r="39" spans="1:9" s="44" customFormat="1" ht="15.75">
      <c r="A39" s="53" t="s">
        <v>53</v>
      </c>
      <c r="B39" s="55"/>
      <c r="C39" s="54"/>
      <c r="D39" s="55"/>
      <c r="E39" s="55"/>
      <c r="F39" s="55"/>
      <c r="G39" s="55" t="s">
        <v>174</v>
      </c>
      <c r="H39" s="56">
        <f>H31+H32+H34+H33+H36+H35+H38+H37</f>
        <v>19760.539999999997</v>
      </c>
      <c r="I39" s="56">
        <f>I31+I32+I34+I33+I36+I35+I38+I37</f>
        <v>25642.95</v>
      </c>
    </row>
    <row r="40" spans="1:9" s="43" customFormat="1" ht="15.75">
      <c r="A40" s="43" t="s">
        <v>21</v>
      </c>
      <c r="B40" s="51"/>
      <c r="C40" s="52" t="s">
        <v>67</v>
      </c>
      <c r="D40" s="52"/>
      <c r="E40" s="52"/>
      <c r="F40" s="52"/>
      <c r="G40" s="52"/>
      <c r="H40" s="52"/>
      <c r="I40" s="50"/>
    </row>
    <row r="41" spans="1:10" s="99" customFormat="1" ht="42.75">
      <c r="A41" s="99" t="s">
        <v>55</v>
      </c>
      <c r="B41" s="99" t="s">
        <v>746</v>
      </c>
      <c r="C41" s="99" t="s">
        <v>412</v>
      </c>
      <c r="D41" s="99" t="s">
        <v>0</v>
      </c>
      <c r="E41" s="99">
        <v>119.05</v>
      </c>
      <c r="F41" s="100">
        <f>TRUNC('DESONERADA18X10F '!F211,2)</f>
        <v>158.72</v>
      </c>
      <c r="G41" s="101">
        <f>TRUNC(F41*1.2977,2)</f>
        <v>205.97</v>
      </c>
      <c r="H41" s="101">
        <f>TRUNC(F41*E41,2)</f>
        <v>18895.61</v>
      </c>
      <c r="I41" s="102">
        <f>TRUNC(E41*G41,2)</f>
        <v>24520.72</v>
      </c>
      <c r="J41" s="99">
        <v>119.05</v>
      </c>
    </row>
    <row r="42" spans="1:10" s="99" customFormat="1" ht="57">
      <c r="A42" s="99" t="s">
        <v>175</v>
      </c>
      <c r="B42" s="99" t="s">
        <v>88</v>
      </c>
      <c r="C42" s="99" t="s">
        <v>413</v>
      </c>
      <c r="D42" s="99" t="s">
        <v>3</v>
      </c>
      <c r="E42" s="99">
        <v>25.4</v>
      </c>
      <c r="F42" s="100">
        <f>TRUNC('DESONERADA18X10F '!F219,2)</f>
        <v>82.14</v>
      </c>
      <c r="G42" s="101">
        <f>TRUNC(F42*1.2977,2)</f>
        <v>106.59</v>
      </c>
      <c r="H42" s="101">
        <f>TRUNC(F42*E42,2)</f>
        <v>2086.35</v>
      </c>
      <c r="I42" s="102">
        <f>TRUNC(E42*G42,2)</f>
        <v>2707.38</v>
      </c>
      <c r="J42" s="99">
        <v>25.4</v>
      </c>
    </row>
    <row r="43" spans="1:9" s="44" customFormat="1" ht="15.75">
      <c r="A43" s="53" t="s">
        <v>53</v>
      </c>
      <c r="B43" s="55"/>
      <c r="C43" s="54"/>
      <c r="D43" s="55"/>
      <c r="E43" s="55"/>
      <c r="F43" s="55"/>
      <c r="G43" s="55" t="s">
        <v>56</v>
      </c>
      <c r="H43" s="58">
        <f>H41+H42</f>
        <v>20981.96</v>
      </c>
      <c r="I43" s="58">
        <f>I41+I42</f>
        <v>27228.100000000002</v>
      </c>
    </row>
    <row r="44" spans="1:9" s="43" customFormat="1" ht="15.75">
      <c r="A44" s="43" t="s">
        <v>22</v>
      </c>
      <c r="B44" s="51"/>
      <c r="C44" s="52" t="s">
        <v>68</v>
      </c>
      <c r="D44" s="52"/>
      <c r="E44" s="52"/>
      <c r="F44" s="52"/>
      <c r="G44" s="52"/>
      <c r="H44" s="52"/>
      <c r="I44" s="50"/>
    </row>
    <row r="45" spans="1:10" s="99" customFormat="1" ht="57.75" customHeight="1">
      <c r="A45" s="99" t="s">
        <v>13</v>
      </c>
      <c r="B45" s="99" t="s">
        <v>89</v>
      </c>
      <c r="C45" s="99" t="s">
        <v>167</v>
      </c>
      <c r="D45" s="101" t="s">
        <v>0</v>
      </c>
      <c r="E45" s="106">
        <v>119.05</v>
      </c>
      <c r="F45" s="101">
        <f>TRUNC('DESONERADA18X10F '!F226,2)</f>
        <v>15.82</v>
      </c>
      <c r="G45" s="101">
        <f aca="true" t="shared" si="6" ref="G45:G50">TRUNC(F45*1.2977,2)</f>
        <v>20.52</v>
      </c>
      <c r="H45" s="101">
        <f aca="true" t="shared" si="7" ref="H45:H50">TRUNC(F45*E45,2)</f>
        <v>1883.37</v>
      </c>
      <c r="I45" s="102">
        <f aca="true" t="shared" si="8" ref="I45:I50">TRUNC(E45*G45,2)</f>
        <v>2442.9</v>
      </c>
      <c r="J45" s="99">
        <v>119.05</v>
      </c>
    </row>
    <row r="46" spans="1:9" s="99" customFormat="1" ht="42.75">
      <c r="A46" s="99" t="s">
        <v>14</v>
      </c>
      <c r="B46" s="99" t="s">
        <v>122</v>
      </c>
      <c r="C46" s="99" t="s">
        <v>168</v>
      </c>
      <c r="D46" s="99" t="s">
        <v>0</v>
      </c>
      <c r="E46" s="101">
        <v>212.01</v>
      </c>
      <c r="F46" s="100">
        <f>TRUNC('DESONERADA18X10F '!F233,2)</f>
        <v>10.31</v>
      </c>
      <c r="G46" s="101">
        <f t="shared" si="6"/>
        <v>13.37</v>
      </c>
      <c r="H46" s="101">
        <f t="shared" si="7"/>
        <v>2185.82</v>
      </c>
      <c r="I46" s="102">
        <f t="shared" si="8"/>
        <v>2834.57</v>
      </c>
    </row>
    <row r="47" spans="1:9" s="99" customFormat="1" ht="57">
      <c r="A47" s="99" t="s">
        <v>15</v>
      </c>
      <c r="B47" s="99" t="s">
        <v>118</v>
      </c>
      <c r="C47" s="99" t="s">
        <v>171</v>
      </c>
      <c r="D47" s="99" t="s">
        <v>0</v>
      </c>
      <c r="E47" s="99">
        <v>4.78</v>
      </c>
      <c r="F47" s="100">
        <f>TRUNC('DESONERADA18X10F '!F239,2)</f>
        <v>48.95</v>
      </c>
      <c r="G47" s="101">
        <f t="shared" si="6"/>
        <v>63.52</v>
      </c>
      <c r="H47" s="101">
        <f t="shared" si="7"/>
        <v>233.98</v>
      </c>
      <c r="I47" s="102">
        <f t="shared" si="8"/>
        <v>303.62</v>
      </c>
    </row>
    <row r="48" spans="1:9" s="99" customFormat="1" ht="42.75">
      <c r="A48" s="99" t="s">
        <v>378</v>
      </c>
      <c r="B48" s="99" t="s">
        <v>328</v>
      </c>
      <c r="C48" s="99" t="s">
        <v>329</v>
      </c>
      <c r="D48" s="99" t="s">
        <v>12</v>
      </c>
      <c r="E48" s="99">
        <v>2</v>
      </c>
      <c r="F48" s="100">
        <f>TRUNC('DESONERADA18X10F '!F248,2)</f>
        <v>30.41</v>
      </c>
      <c r="G48" s="101">
        <f t="shared" si="6"/>
        <v>39.46</v>
      </c>
      <c r="H48" s="101">
        <f t="shared" si="7"/>
        <v>60.82</v>
      </c>
      <c r="I48" s="102">
        <f t="shared" si="8"/>
        <v>78.92</v>
      </c>
    </row>
    <row r="49" spans="1:9" s="99" customFormat="1" ht="71.25">
      <c r="A49" s="99" t="s">
        <v>379</v>
      </c>
      <c r="B49" s="99" t="s">
        <v>367</v>
      </c>
      <c r="C49" s="99" t="s">
        <v>368</v>
      </c>
      <c r="D49" s="99" t="s">
        <v>0</v>
      </c>
      <c r="E49" s="99">
        <v>3.6</v>
      </c>
      <c r="F49" s="100">
        <f>TRUNC('DESONERADA18X10F '!F253,2)</f>
        <v>13.86</v>
      </c>
      <c r="G49" s="101">
        <f t="shared" si="6"/>
        <v>17.98</v>
      </c>
      <c r="H49" s="101">
        <f t="shared" si="7"/>
        <v>49.89</v>
      </c>
      <c r="I49" s="102">
        <f t="shared" si="8"/>
        <v>64.72</v>
      </c>
    </row>
    <row r="50" spans="1:14" s="99" customFormat="1" ht="72">
      <c r="A50" s="99" t="s">
        <v>637</v>
      </c>
      <c r="B50" s="99" t="s">
        <v>367</v>
      </c>
      <c r="C50" s="99" t="s">
        <v>928</v>
      </c>
      <c r="D50" s="99" t="s">
        <v>0</v>
      </c>
      <c r="E50" s="99">
        <v>91.54</v>
      </c>
      <c r="F50" s="100">
        <f>TRUNC('DESONERADA18X10F '!F260,2)</f>
        <v>13.86</v>
      </c>
      <c r="G50" s="101">
        <f t="shared" si="6"/>
        <v>17.98</v>
      </c>
      <c r="H50" s="101">
        <f t="shared" si="7"/>
        <v>1268.74</v>
      </c>
      <c r="I50" s="102">
        <f t="shared" si="8"/>
        <v>1645.88</v>
      </c>
      <c r="K50" s="99">
        <v>21</v>
      </c>
      <c r="L50" s="99">
        <f>E50/21</f>
        <v>4.35904761904762</v>
      </c>
      <c r="M50" s="99">
        <f>L50*3</f>
        <v>13.07714285714286</v>
      </c>
      <c r="N50" s="99">
        <f>M50+E50</f>
        <v>104.61714285714287</v>
      </c>
    </row>
    <row r="51" spans="1:9" s="44" customFormat="1" ht="15.75">
      <c r="A51" s="85" t="s">
        <v>53</v>
      </c>
      <c r="B51" s="86"/>
      <c r="C51" s="87"/>
      <c r="D51" s="86"/>
      <c r="E51" s="86"/>
      <c r="F51" s="86" t="s">
        <v>58</v>
      </c>
      <c r="G51" s="86"/>
      <c r="H51" s="88">
        <f>H47+H46+H45+H48+H49+H50</f>
        <v>5682.62</v>
      </c>
      <c r="I51" s="88">
        <f>I47+I46+I45+I48+I49+I50</f>
        <v>7370.610000000001</v>
      </c>
    </row>
    <row r="52" spans="1:9" s="43" customFormat="1" ht="15.75">
      <c r="A52" s="43" t="s">
        <v>23</v>
      </c>
      <c r="B52" s="51"/>
      <c r="C52" s="52" t="s">
        <v>308</v>
      </c>
      <c r="D52" s="52"/>
      <c r="E52" s="52"/>
      <c r="F52" s="52"/>
      <c r="G52" s="52"/>
      <c r="H52" s="52"/>
      <c r="I52" s="50"/>
    </row>
    <row r="53" spans="1:9" s="99" customFormat="1" ht="28.5">
      <c r="A53" s="99" t="s">
        <v>176</v>
      </c>
      <c r="B53" s="99" t="s">
        <v>243</v>
      </c>
      <c r="C53" s="99" t="s">
        <v>244</v>
      </c>
      <c r="D53" s="99" t="s">
        <v>12</v>
      </c>
      <c r="E53" s="99">
        <v>2</v>
      </c>
      <c r="F53" s="100">
        <f>TRUNC('DESONERADA18X10F '!F269,2)</f>
        <v>598.72</v>
      </c>
      <c r="G53" s="101">
        <f aca="true" t="shared" si="9" ref="G53:G68">TRUNC(F53*1.2977,2)</f>
        <v>776.95</v>
      </c>
      <c r="H53" s="101">
        <f aca="true" t="shared" si="10" ref="H53:H68">TRUNC(F53*E53,2)</f>
        <v>1197.44</v>
      </c>
      <c r="I53" s="102">
        <f aca="true" t="shared" si="11" ref="I53:I68">TRUNC(E53*G53,2)</f>
        <v>1553.9</v>
      </c>
    </row>
    <row r="54" spans="1:9" s="99" customFormat="1" ht="57">
      <c r="A54" s="99" t="s">
        <v>177</v>
      </c>
      <c r="B54" s="99" t="s">
        <v>247</v>
      </c>
      <c r="C54" s="99" t="s">
        <v>248</v>
      </c>
      <c r="D54" s="99" t="s">
        <v>12</v>
      </c>
      <c r="E54" s="99">
        <v>2</v>
      </c>
      <c r="F54" s="100">
        <f>TRUNC('DESONERADA18X10F '!F272,2)</f>
        <v>110.21</v>
      </c>
      <c r="G54" s="101">
        <f t="shared" si="9"/>
        <v>143.01</v>
      </c>
      <c r="H54" s="101">
        <f t="shared" si="10"/>
        <v>220.42</v>
      </c>
      <c r="I54" s="102">
        <f t="shared" si="11"/>
        <v>286.02</v>
      </c>
    </row>
    <row r="55" spans="1:9" s="99" customFormat="1" ht="28.5">
      <c r="A55" s="99" t="s">
        <v>493</v>
      </c>
      <c r="B55" s="99" t="s">
        <v>249</v>
      </c>
      <c r="C55" s="99" t="s">
        <v>250</v>
      </c>
      <c r="D55" s="99" t="s">
        <v>12</v>
      </c>
      <c r="E55" s="99">
        <v>6</v>
      </c>
      <c r="F55" s="100">
        <f>TRUNC('DESONERADA18X10F '!F275,2)</f>
        <v>45.24</v>
      </c>
      <c r="G55" s="101">
        <f t="shared" si="9"/>
        <v>58.7</v>
      </c>
      <c r="H55" s="101">
        <f t="shared" si="10"/>
        <v>271.44</v>
      </c>
      <c r="I55" s="102">
        <f t="shared" si="11"/>
        <v>352.2</v>
      </c>
    </row>
    <row r="56" spans="1:9" s="99" customFormat="1" ht="71.25">
      <c r="A56" s="99" t="s">
        <v>312</v>
      </c>
      <c r="B56" s="99" t="s">
        <v>253</v>
      </c>
      <c r="C56" s="99" t="s">
        <v>254</v>
      </c>
      <c r="D56" s="99" t="s">
        <v>12</v>
      </c>
      <c r="E56" s="99">
        <v>6</v>
      </c>
      <c r="F56" s="100">
        <f>TRUNC('DESONERADA18X10F '!F279,2)</f>
        <v>201.87</v>
      </c>
      <c r="G56" s="101">
        <f t="shared" si="9"/>
        <v>261.96</v>
      </c>
      <c r="H56" s="101">
        <f t="shared" si="10"/>
        <v>1211.22</v>
      </c>
      <c r="I56" s="102">
        <f t="shared" si="11"/>
        <v>1571.76</v>
      </c>
    </row>
    <row r="57" spans="1:9" s="99" customFormat="1" ht="42.75">
      <c r="A57" s="99" t="s">
        <v>313</v>
      </c>
      <c r="B57" s="99" t="s">
        <v>257</v>
      </c>
      <c r="C57" s="99" t="s">
        <v>258</v>
      </c>
      <c r="D57" s="99" t="s">
        <v>12</v>
      </c>
      <c r="E57" s="99">
        <v>2</v>
      </c>
      <c r="F57" s="100">
        <f>TRUNC('DESONERADA18X10F '!F284,2)</f>
        <v>33.89</v>
      </c>
      <c r="G57" s="101">
        <f t="shared" si="9"/>
        <v>43.97</v>
      </c>
      <c r="H57" s="101">
        <f t="shared" si="10"/>
        <v>67.78</v>
      </c>
      <c r="I57" s="102">
        <f t="shared" si="11"/>
        <v>87.94</v>
      </c>
    </row>
    <row r="58" spans="1:9" s="99" customFormat="1" ht="57">
      <c r="A58" s="99" t="s">
        <v>314</v>
      </c>
      <c r="B58" s="99" t="s">
        <v>386</v>
      </c>
      <c r="C58" s="99" t="s">
        <v>387</v>
      </c>
      <c r="D58" s="99" t="s">
        <v>12</v>
      </c>
      <c r="E58" s="99">
        <v>1</v>
      </c>
      <c r="F58" s="100">
        <f>TRUNC('DESONERADA18X10F '!F289,2)</f>
        <v>262.03</v>
      </c>
      <c r="G58" s="101">
        <f t="shared" si="9"/>
        <v>340.03</v>
      </c>
      <c r="H58" s="101">
        <f t="shared" si="10"/>
        <v>262.03</v>
      </c>
      <c r="I58" s="102">
        <f t="shared" si="11"/>
        <v>340.03</v>
      </c>
    </row>
    <row r="59" spans="1:9" s="99" customFormat="1" ht="57">
      <c r="A59" s="99" t="s">
        <v>315</v>
      </c>
      <c r="B59" s="99" t="s">
        <v>262</v>
      </c>
      <c r="C59" s="99" t="s">
        <v>261</v>
      </c>
      <c r="D59" s="99" t="s">
        <v>3</v>
      </c>
      <c r="E59" s="99">
        <v>155.57</v>
      </c>
      <c r="F59" s="100">
        <f>TRUNC('DESONERADA18X10F '!F294,2)</f>
        <v>3.46</v>
      </c>
      <c r="G59" s="101">
        <f t="shared" si="9"/>
        <v>4.49</v>
      </c>
      <c r="H59" s="101">
        <f t="shared" si="10"/>
        <v>538.27</v>
      </c>
      <c r="I59" s="102">
        <f t="shared" si="11"/>
        <v>698.5</v>
      </c>
    </row>
    <row r="60" spans="1:9" s="99" customFormat="1" ht="57">
      <c r="A60" s="99" t="s">
        <v>316</v>
      </c>
      <c r="B60" s="99" t="s">
        <v>265</v>
      </c>
      <c r="C60" s="99" t="s">
        <v>266</v>
      </c>
      <c r="D60" s="99" t="s">
        <v>12</v>
      </c>
      <c r="E60" s="99">
        <v>1</v>
      </c>
      <c r="F60" s="100">
        <f>TRUNC('DESONERADA18X10F '!F300,2)</f>
        <v>839.94</v>
      </c>
      <c r="G60" s="101">
        <f t="shared" si="9"/>
        <v>1089.99</v>
      </c>
      <c r="H60" s="101">
        <f t="shared" si="10"/>
        <v>839.94</v>
      </c>
      <c r="I60" s="102">
        <f t="shared" si="11"/>
        <v>1089.99</v>
      </c>
    </row>
    <row r="61" spans="1:9" s="99" customFormat="1" ht="28.5">
      <c r="A61" s="99" t="s">
        <v>317</v>
      </c>
      <c r="B61" s="99" t="s">
        <v>298</v>
      </c>
      <c r="C61" s="99" t="s">
        <v>299</v>
      </c>
      <c r="D61" s="99" t="s">
        <v>12</v>
      </c>
      <c r="E61" s="99">
        <v>1</v>
      </c>
      <c r="F61" s="100">
        <f>TRUNC('DESONERADA18X10F '!F319,2)</f>
        <v>36.85</v>
      </c>
      <c r="G61" s="101">
        <f t="shared" si="9"/>
        <v>47.82</v>
      </c>
      <c r="H61" s="101">
        <f t="shared" si="10"/>
        <v>36.85</v>
      </c>
      <c r="I61" s="102">
        <f t="shared" si="11"/>
        <v>47.82</v>
      </c>
    </row>
    <row r="62" spans="1:9" s="99" customFormat="1" ht="28.5">
      <c r="A62" s="99" t="s">
        <v>494</v>
      </c>
      <c r="B62" s="99" t="s">
        <v>748</v>
      </c>
      <c r="C62" s="99" t="s">
        <v>390</v>
      </c>
      <c r="D62" s="99" t="s">
        <v>12</v>
      </c>
      <c r="E62" s="99">
        <v>2</v>
      </c>
      <c r="F62" s="100">
        <f>TRUNC('DESONERADA18X10F '!F324,2)</f>
        <v>54.76</v>
      </c>
      <c r="G62" s="101">
        <f t="shared" si="9"/>
        <v>71.06</v>
      </c>
      <c r="H62" s="101">
        <f t="shared" si="10"/>
        <v>109.52</v>
      </c>
      <c r="I62" s="102">
        <f t="shared" si="11"/>
        <v>142.12</v>
      </c>
    </row>
    <row r="63" spans="1:9" s="99" customFormat="1" ht="28.5">
      <c r="A63" s="99" t="s">
        <v>318</v>
      </c>
      <c r="B63" s="99" t="s">
        <v>752</v>
      </c>
      <c r="C63" s="99" t="s">
        <v>301</v>
      </c>
      <c r="D63" s="99" t="s">
        <v>3</v>
      </c>
      <c r="E63" s="99">
        <v>38.19</v>
      </c>
      <c r="F63" s="100">
        <f>TRUNC('DESONERADA18X10F '!F330,2)</f>
        <v>7.75</v>
      </c>
      <c r="G63" s="101">
        <f t="shared" si="9"/>
        <v>10.05</v>
      </c>
      <c r="H63" s="101">
        <f t="shared" si="10"/>
        <v>295.97</v>
      </c>
      <c r="I63" s="102">
        <f t="shared" si="11"/>
        <v>383.8</v>
      </c>
    </row>
    <row r="64" spans="1:9" s="99" customFormat="1" ht="28.5">
      <c r="A64" s="99" t="s">
        <v>319</v>
      </c>
      <c r="B64" s="99" t="s">
        <v>755</v>
      </c>
      <c r="C64" s="99" t="s">
        <v>303</v>
      </c>
      <c r="D64" s="99" t="s">
        <v>12</v>
      </c>
      <c r="E64" s="99">
        <v>8</v>
      </c>
      <c r="F64" s="100">
        <f>TRUNC('DESONERADA18X10F '!F336,2)</f>
        <v>9.45</v>
      </c>
      <c r="G64" s="101">
        <f t="shared" si="9"/>
        <v>12.26</v>
      </c>
      <c r="H64" s="101">
        <f t="shared" si="10"/>
        <v>75.6</v>
      </c>
      <c r="I64" s="102">
        <f t="shared" si="11"/>
        <v>98.08</v>
      </c>
    </row>
    <row r="65" spans="1:9" s="99" customFormat="1" ht="28.5">
      <c r="A65" s="99" t="s">
        <v>320</v>
      </c>
      <c r="B65" s="99" t="s">
        <v>757</v>
      </c>
      <c r="C65" s="99" t="s">
        <v>305</v>
      </c>
      <c r="D65" s="99" t="s">
        <v>12</v>
      </c>
      <c r="E65" s="99">
        <v>1</v>
      </c>
      <c r="F65" s="100">
        <f>TRUNC('DESONERADA18X10F '!F341,2)</f>
        <v>24.96</v>
      </c>
      <c r="G65" s="101">
        <f t="shared" si="9"/>
        <v>32.39</v>
      </c>
      <c r="H65" s="101">
        <f t="shared" si="10"/>
        <v>24.96</v>
      </c>
      <c r="I65" s="102">
        <f t="shared" si="11"/>
        <v>32.39</v>
      </c>
    </row>
    <row r="66" spans="1:9" s="99" customFormat="1" ht="42.75">
      <c r="A66" s="99" t="s">
        <v>321</v>
      </c>
      <c r="B66" s="99" t="s">
        <v>325</v>
      </c>
      <c r="C66" s="99" t="s">
        <v>324</v>
      </c>
      <c r="D66" s="99" t="s">
        <v>12</v>
      </c>
      <c r="E66" s="99">
        <v>1</v>
      </c>
      <c r="F66" s="100">
        <f>TRUNC('DESONERADA18X10F '!F347,2)</f>
        <v>507.19</v>
      </c>
      <c r="G66" s="101">
        <f t="shared" si="9"/>
        <v>658.18</v>
      </c>
      <c r="H66" s="101">
        <f t="shared" si="10"/>
        <v>507.19</v>
      </c>
      <c r="I66" s="102">
        <f t="shared" si="11"/>
        <v>658.18</v>
      </c>
    </row>
    <row r="67" spans="1:9" s="99" customFormat="1" ht="42.75">
      <c r="A67" s="99" t="s">
        <v>322</v>
      </c>
      <c r="B67" s="99" t="s">
        <v>334</v>
      </c>
      <c r="C67" s="99" t="s">
        <v>335</v>
      </c>
      <c r="D67" s="99" t="s">
        <v>12</v>
      </c>
      <c r="E67" s="99">
        <v>5</v>
      </c>
      <c r="F67" s="100">
        <f>TRUNC('DESONERADA18X10F '!F355,2)</f>
        <v>5.5</v>
      </c>
      <c r="G67" s="101">
        <f t="shared" si="9"/>
        <v>7.13</v>
      </c>
      <c r="H67" s="101">
        <f t="shared" si="10"/>
        <v>27.5</v>
      </c>
      <c r="I67" s="102">
        <f t="shared" si="11"/>
        <v>35.65</v>
      </c>
    </row>
    <row r="68" spans="1:9" s="99" customFormat="1" ht="28.5">
      <c r="A68" s="99" t="s">
        <v>654</v>
      </c>
      <c r="B68" s="105" t="s">
        <v>764</v>
      </c>
      <c r="C68" s="99" t="s">
        <v>668</v>
      </c>
      <c r="D68" s="99" t="s">
        <v>12</v>
      </c>
      <c r="E68" s="99">
        <v>4</v>
      </c>
      <c r="F68" s="100">
        <f>TRUNC('DESONERADA18X10F '!F361,2)</f>
        <v>166.14</v>
      </c>
      <c r="G68" s="101">
        <f t="shared" si="9"/>
        <v>215.59</v>
      </c>
      <c r="H68" s="101">
        <f t="shared" si="10"/>
        <v>664.56</v>
      </c>
      <c r="I68" s="102">
        <f t="shared" si="11"/>
        <v>862.36</v>
      </c>
    </row>
    <row r="69" spans="1:9" s="44" customFormat="1" ht="15.75">
      <c r="A69" s="53" t="s">
        <v>53</v>
      </c>
      <c r="B69" s="55"/>
      <c r="C69" s="54"/>
      <c r="D69" s="55"/>
      <c r="E69" s="55"/>
      <c r="F69" s="55" t="s">
        <v>495</v>
      </c>
      <c r="G69" s="55"/>
      <c r="H69" s="56">
        <f>H65+H64+H63+H62+H61+H60+H59+H58+H57+H56+H55+H54+H53+H66+H67+H68</f>
        <v>6350.6900000000005</v>
      </c>
      <c r="I69" s="56">
        <f>I65+I64+I63+I62+I61+I60+I59+I58+I57+I56+I55+I54+I53+I66+I67+I68</f>
        <v>8240.74</v>
      </c>
    </row>
    <row r="70" spans="1:9" s="43" customFormat="1" ht="15.75">
      <c r="A70" s="43" t="s">
        <v>24</v>
      </c>
      <c r="B70" s="51"/>
      <c r="C70" s="52" t="s">
        <v>69</v>
      </c>
      <c r="D70" s="52"/>
      <c r="E70" s="52"/>
      <c r="F70" s="52"/>
      <c r="G70" s="52"/>
      <c r="H70" s="52"/>
      <c r="I70" s="50"/>
    </row>
    <row r="71" spans="1:9" s="99" customFormat="1" ht="28.5">
      <c r="A71" s="99" t="s">
        <v>238</v>
      </c>
      <c r="B71" s="99" t="s">
        <v>93</v>
      </c>
      <c r="C71" s="99" t="s">
        <v>94</v>
      </c>
      <c r="D71" s="99" t="s">
        <v>16</v>
      </c>
      <c r="E71" s="99">
        <v>1</v>
      </c>
      <c r="F71" s="100">
        <f>TRUNC('DESONERADA18X10F '!F376,2)</f>
        <v>1963.5</v>
      </c>
      <c r="G71" s="101">
        <f aca="true" t="shared" si="12" ref="G71:G77">TRUNC(F71*1.2977,2)</f>
        <v>2548.03</v>
      </c>
      <c r="H71" s="101">
        <f aca="true" t="shared" si="13" ref="H71:H77">TRUNC(F71*E71,2)</f>
        <v>1963.5</v>
      </c>
      <c r="I71" s="102">
        <f aca="true" t="shared" si="14" ref="I71:I77">TRUNC(E71*G71,2)</f>
        <v>2548.03</v>
      </c>
    </row>
    <row r="72" spans="1:9" s="99" customFormat="1" ht="14.25">
      <c r="A72" s="99" t="s">
        <v>239</v>
      </c>
      <c r="B72" s="99" t="s">
        <v>96</v>
      </c>
      <c r="C72" s="99" t="s">
        <v>97</v>
      </c>
      <c r="D72" s="99" t="s">
        <v>16</v>
      </c>
      <c r="E72" s="99">
        <v>1</v>
      </c>
      <c r="F72" s="100">
        <f>TRUNC('DESONERADA18X10F '!F379,2)</f>
        <v>61.35</v>
      </c>
      <c r="G72" s="101">
        <f t="shared" si="12"/>
        <v>79.61</v>
      </c>
      <c r="H72" s="101">
        <f t="shared" si="13"/>
        <v>61.35</v>
      </c>
      <c r="I72" s="102">
        <f t="shared" si="14"/>
        <v>79.61</v>
      </c>
    </row>
    <row r="73" spans="1:9" s="99" customFormat="1" ht="71.25">
      <c r="A73" s="99" t="s">
        <v>638</v>
      </c>
      <c r="B73" s="99" t="s">
        <v>628</v>
      </c>
      <c r="C73" s="99" t="s">
        <v>593</v>
      </c>
      <c r="D73" s="99" t="s">
        <v>12</v>
      </c>
      <c r="E73" s="99">
        <v>1</v>
      </c>
      <c r="F73" s="100">
        <f>TRUNC('DESONERADA18X10F '!F382,2)</f>
        <v>1859.2</v>
      </c>
      <c r="G73" s="101">
        <f t="shared" si="12"/>
        <v>2412.68</v>
      </c>
      <c r="H73" s="101">
        <f t="shared" si="13"/>
        <v>1859.2</v>
      </c>
      <c r="I73" s="102">
        <f t="shared" si="14"/>
        <v>2412.68</v>
      </c>
    </row>
    <row r="74" spans="1:9" s="99" customFormat="1" ht="57">
      <c r="A74" s="99" t="s">
        <v>639</v>
      </c>
      <c r="B74" s="99" t="s">
        <v>629</v>
      </c>
      <c r="C74" s="99" t="s">
        <v>557</v>
      </c>
      <c r="D74" s="99" t="s">
        <v>12</v>
      </c>
      <c r="E74" s="99">
        <v>1</v>
      </c>
      <c r="F74" s="100">
        <f>TRUNC('DESONERADA18X10F '!F409,2)</f>
        <v>1489.28</v>
      </c>
      <c r="G74" s="101">
        <f t="shared" si="12"/>
        <v>1932.63</v>
      </c>
      <c r="H74" s="101">
        <f t="shared" si="13"/>
        <v>1489.28</v>
      </c>
      <c r="I74" s="102">
        <f t="shared" si="14"/>
        <v>1932.63</v>
      </c>
    </row>
    <row r="75" spans="1:9" s="99" customFormat="1" ht="42.75">
      <c r="A75" s="99" t="s">
        <v>640</v>
      </c>
      <c r="B75" s="99" t="s">
        <v>630</v>
      </c>
      <c r="C75" s="99" t="s">
        <v>597</v>
      </c>
      <c r="D75" s="99" t="s">
        <v>12</v>
      </c>
      <c r="E75" s="99">
        <v>2</v>
      </c>
      <c r="F75" s="100">
        <f>TRUNC('DESONERADA18X10F '!F435,2)</f>
        <v>702.61</v>
      </c>
      <c r="G75" s="101">
        <f t="shared" si="12"/>
        <v>911.77</v>
      </c>
      <c r="H75" s="101">
        <f t="shared" si="13"/>
        <v>1405.22</v>
      </c>
      <c r="I75" s="102">
        <f t="shared" si="14"/>
        <v>1823.54</v>
      </c>
    </row>
    <row r="76" spans="1:9" s="99" customFormat="1" ht="71.25">
      <c r="A76" s="99" t="s">
        <v>641</v>
      </c>
      <c r="B76" s="99" t="s">
        <v>631</v>
      </c>
      <c r="C76" s="99" t="s">
        <v>601</v>
      </c>
      <c r="D76" s="99" t="s">
        <v>12</v>
      </c>
      <c r="E76" s="99">
        <v>2</v>
      </c>
      <c r="F76" s="100">
        <f>TRUNC('DESONERADA18X10F '!F450,2)</f>
        <v>2231.13</v>
      </c>
      <c r="G76" s="101">
        <f t="shared" si="12"/>
        <v>2895.33</v>
      </c>
      <c r="H76" s="101">
        <f t="shared" si="13"/>
        <v>4462.26</v>
      </c>
      <c r="I76" s="102">
        <f t="shared" si="14"/>
        <v>5790.66</v>
      </c>
    </row>
    <row r="77" spans="1:9" s="99" customFormat="1" ht="57">
      <c r="A77" s="99" t="s">
        <v>642</v>
      </c>
      <c r="B77" s="99" t="s">
        <v>702</v>
      </c>
      <c r="C77" s="99" t="s">
        <v>617</v>
      </c>
      <c r="D77" s="99" t="s">
        <v>12</v>
      </c>
      <c r="E77" s="99">
        <v>1</v>
      </c>
      <c r="F77" s="100">
        <f>TRUNC('DESONERADA18X10F '!F478,2)</f>
        <v>1945.12</v>
      </c>
      <c r="G77" s="101">
        <f t="shared" si="12"/>
        <v>2524.18</v>
      </c>
      <c r="H77" s="101">
        <f t="shared" si="13"/>
        <v>1945.12</v>
      </c>
      <c r="I77" s="102">
        <f t="shared" si="14"/>
        <v>2524.18</v>
      </c>
    </row>
    <row r="78" spans="1:9" s="44" customFormat="1" ht="15.75">
      <c r="A78" s="53" t="s">
        <v>53</v>
      </c>
      <c r="B78" s="55"/>
      <c r="C78" s="54"/>
      <c r="D78" s="55"/>
      <c r="E78" s="55"/>
      <c r="F78" s="55" t="s">
        <v>323</v>
      </c>
      <c r="G78" s="55"/>
      <c r="H78" s="57">
        <f>H72+H71+H77+H76+H75+H74+H73</f>
        <v>13185.93</v>
      </c>
      <c r="I78" s="57">
        <f>I72+I71+I77+I76+I75+I74+I73</f>
        <v>17111.33</v>
      </c>
    </row>
    <row r="79" spans="1:9" s="43" customFormat="1" ht="15.75">
      <c r="A79" s="43" t="s">
        <v>309</v>
      </c>
      <c r="B79" s="51"/>
      <c r="C79" s="52" t="s">
        <v>544</v>
      </c>
      <c r="D79" s="52"/>
      <c r="E79" s="52"/>
      <c r="F79" s="52"/>
      <c r="G79" s="52"/>
      <c r="H79" s="52"/>
      <c r="I79" s="50"/>
    </row>
    <row r="80" spans="1:10" s="99" customFormat="1" ht="28.5">
      <c r="A80" s="99" t="s">
        <v>310</v>
      </c>
      <c r="B80" s="99" t="s">
        <v>765</v>
      </c>
      <c r="C80" s="99" t="s">
        <v>545</v>
      </c>
      <c r="D80" s="99" t="s">
        <v>0</v>
      </c>
      <c r="E80" s="99">
        <v>328.5</v>
      </c>
      <c r="F80" s="100">
        <f>TRUNC('DESONERADA18X10F '!F502,2)</f>
        <v>59.94</v>
      </c>
      <c r="G80" s="101">
        <f>TRUNC(F80*1.2977,2)</f>
        <v>77.78</v>
      </c>
      <c r="H80" s="101">
        <f>TRUNC(F80*E80,2)</f>
        <v>19690.29</v>
      </c>
      <c r="I80" s="102">
        <f>TRUNC(E80*G80,2)</f>
        <v>25550.73</v>
      </c>
      <c r="J80" s="99">
        <v>328.5</v>
      </c>
    </row>
    <row r="81" spans="1:9" s="99" customFormat="1" ht="42.75">
      <c r="A81" s="99" t="s">
        <v>311</v>
      </c>
      <c r="B81" s="99" t="s">
        <v>777</v>
      </c>
      <c r="C81" s="99" t="s">
        <v>549</v>
      </c>
      <c r="D81" s="99" t="s">
        <v>3</v>
      </c>
      <c r="E81" s="99">
        <v>79.46</v>
      </c>
      <c r="F81" s="100">
        <f>TRUNC('DESONERADA18X10F '!F513,2)</f>
        <v>35.81</v>
      </c>
      <c r="G81" s="101">
        <f>TRUNC(F81*1.2977,2)</f>
        <v>46.47</v>
      </c>
      <c r="H81" s="101">
        <f>TRUNC(F81*E81,2)</f>
        <v>2845.46</v>
      </c>
      <c r="I81" s="102">
        <f>TRUNC(E81*G81,2)</f>
        <v>3692.5</v>
      </c>
    </row>
    <row r="82" spans="1:10" s="99" customFormat="1" ht="57">
      <c r="A82" s="99" t="s">
        <v>441</v>
      </c>
      <c r="B82" s="99" t="s">
        <v>553</v>
      </c>
      <c r="C82" s="99" t="s">
        <v>632</v>
      </c>
      <c r="D82" s="99" t="s">
        <v>0</v>
      </c>
      <c r="E82" s="99">
        <v>250.54</v>
      </c>
      <c r="F82" s="100">
        <f>TRUNC('DESONERADA18X10F '!F520,2)</f>
        <v>9.78</v>
      </c>
      <c r="G82" s="101">
        <f>TRUNC(F82*1.2977,2)</f>
        <v>12.69</v>
      </c>
      <c r="H82" s="101">
        <f>TRUNC(F82*E82,2)</f>
        <v>2450.28</v>
      </c>
      <c r="I82" s="102">
        <f>TRUNC(E82*G82,2)</f>
        <v>3179.35</v>
      </c>
      <c r="J82" s="99">
        <f>157.33+93.21</f>
        <v>250.54000000000002</v>
      </c>
    </row>
    <row r="83" spans="1:9" s="99" customFormat="1" ht="28.5">
      <c r="A83" s="99" t="s">
        <v>480</v>
      </c>
      <c r="B83" s="99" t="s">
        <v>633</v>
      </c>
      <c r="C83" s="99" t="s">
        <v>555</v>
      </c>
      <c r="D83" s="99" t="s">
        <v>1</v>
      </c>
      <c r="E83" s="99">
        <v>1.31</v>
      </c>
      <c r="F83" s="100">
        <f>TRUNC('DESONERADA18X10F '!F524,2)</f>
        <v>15.49</v>
      </c>
      <c r="G83" s="101">
        <f>TRUNC(F83*1.2977,2)</f>
        <v>20.1</v>
      </c>
      <c r="H83" s="101">
        <f>TRUNC(F83*E83,2)</f>
        <v>20.29</v>
      </c>
      <c r="I83" s="102">
        <f>TRUNC(E83*G83,2)</f>
        <v>26.33</v>
      </c>
    </row>
    <row r="84" spans="1:10" s="99" customFormat="1" ht="14.25">
      <c r="A84" s="99" t="s">
        <v>481</v>
      </c>
      <c r="B84" s="99" t="s">
        <v>634</v>
      </c>
      <c r="C84" s="99" t="s">
        <v>623</v>
      </c>
      <c r="D84" s="99" t="s">
        <v>3</v>
      </c>
      <c r="E84" s="99">
        <v>493.03</v>
      </c>
      <c r="F84" s="100">
        <f>TRUNC('DESONERADA18X10F '!F527,2)</f>
        <v>0.44</v>
      </c>
      <c r="G84" s="101">
        <f>TRUNC(F84*1.2977,2)</f>
        <v>0.57</v>
      </c>
      <c r="H84" s="101">
        <f>TRUNC(F84*E84,2)</f>
        <v>216.93</v>
      </c>
      <c r="I84" s="102">
        <f>TRUNC(E84*G84,2)</f>
        <v>281.02</v>
      </c>
      <c r="J84" s="99">
        <v>493.03</v>
      </c>
    </row>
    <row r="85" spans="1:9" s="44" customFormat="1" ht="15.75">
      <c r="A85" s="53" t="s">
        <v>53</v>
      </c>
      <c r="B85" s="55"/>
      <c r="C85" s="54"/>
      <c r="D85" s="55"/>
      <c r="E85" s="55"/>
      <c r="F85" s="55" t="s">
        <v>62</v>
      </c>
      <c r="G85" s="55"/>
      <c r="H85" s="57">
        <f>H84+H83+H82+H81+H80</f>
        <v>25223.25</v>
      </c>
      <c r="I85" s="57">
        <f>I84+I83+I82+I81+I80</f>
        <v>32729.93</v>
      </c>
    </row>
    <row r="86" spans="1:9" s="43" customFormat="1" ht="15.75">
      <c r="A86" s="43" t="s">
        <v>643</v>
      </c>
      <c r="B86" s="51"/>
      <c r="C86" s="52" t="s">
        <v>70</v>
      </c>
      <c r="D86" s="52"/>
      <c r="E86" s="52"/>
      <c r="F86" s="52"/>
      <c r="G86" s="52"/>
      <c r="H86" s="52"/>
      <c r="I86" s="50"/>
    </row>
    <row r="87" spans="1:9" s="99" customFormat="1" ht="28.5">
      <c r="A87" s="99" t="s">
        <v>644</v>
      </c>
      <c r="B87" s="99" t="s">
        <v>781</v>
      </c>
      <c r="C87" s="99" t="s">
        <v>185</v>
      </c>
      <c r="D87" s="99" t="s">
        <v>48</v>
      </c>
      <c r="E87" s="99">
        <v>0.985</v>
      </c>
      <c r="F87" s="100">
        <f>TRUNC('DESONERADA18X10F '!F534,2)</f>
        <v>11.32</v>
      </c>
      <c r="G87" s="101">
        <f aca="true" t="shared" si="15" ref="G87:G92">TRUNC(F87*1.2977,2)</f>
        <v>14.68</v>
      </c>
      <c r="H87" s="101">
        <f aca="true" t="shared" si="16" ref="H87:H92">TRUNC(F87*E87,2)</f>
        <v>11.15</v>
      </c>
      <c r="I87" s="102">
        <f aca="true" t="shared" si="17" ref="I87:I92">TRUNC(E87*G87,2)</f>
        <v>14.45</v>
      </c>
    </row>
    <row r="88" spans="1:9" s="99" customFormat="1" ht="14.25">
      <c r="A88" s="99" t="s">
        <v>645</v>
      </c>
      <c r="B88" s="99" t="s">
        <v>784</v>
      </c>
      <c r="C88" s="99" t="s">
        <v>186</v>
      </c>
      <c r="D88" s="99" t="s">
        <v>63</v>
      </c>
      <c r="E88" s="99">
        <v>5.91</v>
      </c>
      <c r="F88" s="100">
        <f>TRUNC('DESONERADA18X10F '!F537,2)</f>
        <v>0.6</v>
      </c>
      <c r="G88" s="101">
        <f t="shared" si="15"/>
        <v>0.77</v>
      </c>
      <c r="H88" s="101">
        <f t="shared" si="16"/>
        <v>3.54</v>
      </c>
      <c r="I88" s="102">
        <f t="shared" si="17"/>
        <v>4.55</v>
      </c>
    </row>
    <row r="89" spans="1:9" s="99" customFormat="1" ht="57">
      <c r="A89" s="99" t="s">
        <v>646</v>
      </c>
      <c r="B89" s="99" t="s">
        <v>393</v>
      </c>
      <c r="C89" s="99" t="s">
        <v>394</v>
      </c>
      <c r="D89" s="99" t="s">
        <v>12</v>
      </c>
      <c r="E89" s="99">
        <v>7</v>
      </c>
      <c r="F89" s="100">
        <f>TRUNC('DESONERADA18X10F '!F540,2)</f>
        <v>238.08</v>
      </c>
      <c r="G89" s="101">
        <f t="shared" si="15"/>
        <v>308.95</v>
      </c>
      <c r="H89" s="101">
        <f t="shared" si="16"/>
        <v>1666.56</v>
      </c>
      <c r="I89" s="102">
        <f t="shared" si="17"/>
        <v>2162.65</v>
      </c>
    </row>
    <row r="90" spans="1:11" s="99" customFormat="1" ht="14.25">
      <c r="A90" s="99" t="s">
        <v>647</v>
      </c>
      <c r="B90" s="99" t="s">
        <v>785</v>
      </c>
      <c r="C90" s="99" t="s">
        <v>478</v>
      </c>
      <c r="D90" s="99" t="s">
        <v>1</v>
      </c>
      <c r="E90" s="99">
        <v>13.71</v>
      </c>
      <c r="F90" s="100">
        <f>TRUNC('DESONERADA18X10F '!F544,2)</f>
        <v>4</v>
      </c>
      <c r="G90" s="101">
        <f t="shared" si="15"/>
        <v>5.19</v>
      </c>
      <c r="H90" s="101">
        <f t="shared" si="16"/>
        <v>54.84</v>
      </c>
      <c r="I90" s="102">
        <f t="shared" si="17"/>
        <v>71.15</v>
      </c>
      <c r="K90" s="99">
        <v>13.71</v>
      </c>
    </row>
    <row r="91" spans="1:9" s="99" customFormat="1" ht="29.25">
      <c r="A91" s="99" t="s">
        <v>648</v>
      </c>
      <c r="B91" s="99" t="s">
        <v>790</v>
      </c>
      <c r="C91" s="99" t="s">
        <v>929</v>
      </c>
      <c r="D91" s="99" t="s">
        <v>479</v>
      </c>
      <c r="E91" s="99">
        <v>149</v>
      </c>
      <c r="F91" s="100">
        <f>TRUNC('DESONERADA18X10F '!F549,2)</f>
        <v>1.58</v>
      </c>
      <c r="G91" s="101">
        <f t="shared" si="15"/>
        <v>2.05</v>
      </c>
      <c r="H91" s="101">
        <f t="shared" si="16"/>
        <v>235.42</v>
      </c>
      <c r="I91" s="102">
        <f t="shared" si="17"/>
        <v>305.45</v>
      </c>
    </row>
    <row r="92" spans="1:9" s="99" customFormat="1" ht="28.5">
      <c r="A92" s="99" t="s">
        <v>913</v>
      </c>
      <c r="B92" s="99" t="s">
        <v>554</v>
      </c>
      <c r="C92" s="99" t="s">
        <v>555</v>
      </c>
      <c r="D92" s="99" t="s">
        <v>1</v>
      </c>
      <c r="E92" s="99">
        <v>0.6</v>
      </c>
      <c r="F92" s="100">
        <f>TRUNC('DESONERADA18X10F '!F553,2)</f>
        <v>17.87</v>
      </c>
      <c r="G92" s="101">
        <f t="shared" si="15"/>
        <v>23.18</v>
      </c>
      <c r="H92" s="101">
        <f t="shared" si="16"/>
        <v>10.72</v>
      </c>
      <c r="I92" s="102">
        <f t="shared" si="17"/>
        <v>13.9</v>
      </c>
    </row>
    <row r="93" spans="1:9" s="44" customFormat="1" ht="15.75">
      <c r="A93" s="53" t="s">
        <v>53</v>
      </c>
      <c r="B93" s="55"/>
      <c r="C93" s="54"/>
      <c r="D93" s="55"/>
      <c r="E93" s="55"/>
      <c r="F93" s="55" t="s">
        <v>649</v>
      </c>
      <c r="G93" s="55"/>
      <c r="H93" s="56">
        <f>H88+H87+H89+H90+H91+H92</f>
        <v>1982.23</v>
      </c>
      <c r="I93" s="56">
        <f>I88+I87+I89+I90+I91+I92</f>
        <v>2572.15</v>
      </c>
    </row>
    <row r="94" spans="1:9" s="44" customFormat="1" ht="15.75">
      <c r="A94" s="53" t="s">
        <v>53</v>
      </c>
      <c r="B94" s="55"/>
      <c r="C94" s="54"/>
      <c r="D94" s="55"/>
      <c r="E94" s="55"/>
      <c r="F94" s="55" t="s">
        <v>64</v>
      </c>
      <c r="G94" s="55"/>
      <c r="H94" s="57">
        <f>H78+H43+H39+H29+H51+H93+H69+H85</f>
        <v>117073.81999999999</v>
      </c>
      <c r="I94" s="57">
        <f>I78+I43+I39+I29+I51+I93+I69+I85</f>
        <v>151915.8</v>
      </c>
    </row>
  </sheetData>
  <sheetProtection/>
  <mergeCells count="13">
    <mergeCell ref="A9:G9"/>
    <mergeCell ref="A10:A11"/>
    <mergeCell ref="B10:B11"/>
    <mergeCell ref="C10:C11"/>
    <mergeCell ref="D10:D11"/>
    <mergeCell ref="E10:E11"/>
    <mergeCell ref="F10:I10"/>
    <mergeCell ref="D3:G3"/>
    <mergeCell ref="D4:G4"/>
    <mergeCell ref="D5:G5"/>
    <mergeCell ref="D6:G6"/>
    <mergeCell ref="D7:G7"/>
    <mergeCell ref="D8:G8"/>
  </mergeCells>
  <printOptions/>
  <pageMargins left="0.5118110236220472" right="0.5118110236220472" top="0.7874015748031497" bottom="0.7874015748031497" header="0.31496062992125984" footer="0.31496062992125984"/>
  <pageSetup horizontalDpi="300" verticalDpi="300" orientation="portrait" paperSize="9" scale="39" r:id="rId2"/>
  <headerFooter>
    <oddFooter>&amp;C&amp;A&amp;RPágina &amp;P de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64"/>
  <sheetViews>
    <sheetView view="pageBreakPreview" zoomScale="70" zoomScaleSheetLayoutView="70" zoomScalePageLayoutView="0" workbookViewId="0" topLeftCell="A546">
      <selection activeCell="B13" sqref="B13"/>
    </sheetView>
  </sheetViews>
  <sheetFormatPr defaultColWidth="9.140625" defaultRowHeight="15"/>
  <cols>
    <col min="2" max="2" width="23.421875" style="0" customWidth="1"/>
    <col min="3" max="3" width="104.00390625" style="1" customWidth="1"/>
    <col min="4" max="4" width="11.140625" style="0" customWidth="1"/>
    <col min="5" max="5" width="10.7109375" style="0" bestFit="1" customWidth="1"/>
    <col min="6" max="6" width="19.00390625" style="0" bestFit="1" customWidth="1"/>
    <col min="7" max="7" width="13.8515625" style="0" bestFit="1" customWidth="1"/>
    <col min="8" max="8" width="16.8515625" style="0" bestFit="1" customWidth="1"/>
    <col min="9" max="9" width="17.140625" style="0" bestFit="1" customWidth="1"/>
    <col min="10" max="10" width="20.7109375" style="92" bestFit="1" customWidth="1"/>
    <col min="12" max="12" width="14.28125" style="0" bestFit="1" customWidth="1"/>
    <col min="13" max="14" width="14.421875" style="0" bestFit="1" customWidth="1"/>
  </cols>
  <sheetData>
    <row r="1" spans="1:7" ht="15.75">
      <c r="A1" s="2"/>
      <c r="B1" s="3"/>
      <c r="C1" s="4" t="s">
        <v>26</v>
      </c>
      <c r="D1" s="5"/>
      <c r="E1" s="6"/>
      <c r="F1" s="7"/>
      <c r="G1" s="8"/>
    </row>
    <row r="2" spans="1:7" ht="15.75">
      <c r="A2" s="9"/>
      <c r="B2" s="10"/>
      <c r="C2" s="11" t="s">
        <v>27</v>
      </c>
      <c r="D2" s="12"/>
      <c r="E2" s="13"/>
      <c r="F2" s="14"/>
      <c r="G2" s="15"/>
    </row>
    <row r="3" spans="1:7" ht="15.75">
      <c r="A3" s="9"/>
      <c r="B3" s="10"/>
      <c r="C3" s="11" t="s">
        <v>28</v>
      </c>
      <c r="D3" s="124" t="s">
        <v>102</v>
      </c>
      <c r="E3" s="125"/>
      <c r="F3" s="125"/>
      <c r="G3" s="126"/>
    </row>
    <row r="4" spans="1:7" ht="15.75" customHeight="1">
      <c r="A4" s="9"/>
      <c r="B4" s="10"/>
      <c r="C4" s="16" t="s">
        <v>652</v>
      </c>
      <c r="D4" s="127" t="s">
        <v>541</v>
      </c>
      <c r="E4" s="128"/>
      <c r="F4" s="128"/>
      <c r="G4" s="129"/>
    </row>
    <row r="5" spans="1:7" ht="15.75">
      <c r="A5" s="9"/>
      <c r="B5" s="10"/>
      <c r="C5" s="45" t="s">
        <v>540</v>
      </c>
      <c r="D5" s="130" t="s">
        <v>178</v>
      </c>
      <c r="E5" s="131"/>
      <c r="F5" s="131"/>
      <c r="G5" s="132"/>
    </row>
    <row r="6" spans="1:7" ht="15.75">
      <c r="A6" s="9"/>
      <c r="B6" s="10"/>
      <c r="C6" s="17" t="s">
        <v>496</v>
      </c>
      <c r="D6" s="133" t="s">
        <v>179</v>
      </c>
      <c r="E6" s="134"/>
      <c r="F6" s="134"/>
      <c r="G6" s="135"/>
    </row>
    <row r="7" spans="1:7" ht="15.75">
      <c r="A7" s="9"/>
      <c r="B7" s="10"/>
      <c r="C7" s="46"/>
      <c r="D7" s="133" t="s">
        <v>180</v>
      </c>
      <c r="E7" s="134"/>
      <c r="F7" s="134"/>
      <c r="G7" s="135"/>
    </row>
    <row r="8" spans="1:7" ht="15.75">
      <c r="A8" s="18"/>
      <c r="B8" s="19"/>
      <c r="C8" s="20"/>
      <c r="D8" s="136" t="s">
        <v>65</v>
      </c>
      <c r="E8" s="137"/>
      <c r="F8" s="137"/>
      <c r="G8" s="138"/>
    </row>
    <row r="9" spans="1:7" ht="15">
      <c r="A9" s="139" t="s">
        <v>29</v>
      </c>
      <c r="B9" s="140"/>
      <c r="C9" s="140"/>
      <c r="D9" s="140"/>
      <c r="E9" s="140"/>
      <c r="F9" s="140"/>
      <c r="G9" s="140"/>
    </row>
    <row r="10" spans="1:10" s="48" customFormat="1" ht="12.75" customHeight="1">
      <c r="A10" s="141" t="s">
        <v>30</v>
      </c>
      <c r="B10" s="142" t="s">
        <v>66</v>
      </c>
      <c r="C10" s="142" t="s">
        <v>31</v>
      </c>
      <c r="D10" s="141" t="s">
        <v>12</v>
      </c>
      <c r="E10" s="143" t="s">
        <v>32</v>
      </c>
      <c r="F10" s="144" t="s">
        <v>33</v>
      </c>
      <c r="G10" s="144"/>
      <c r="H10" s="144"/>
      <c r="I10" s="144"/>
      <c r="J10" s="93"/>
    </row>
    <row r="11" spans="1:10" s="48" customFormat="1" ht="12.75" customHeight="1">
      <c r="A11" s="141"/>
      <c r="B11" s="142"/>
      <c r="C11" s="142"/>
      <c r="D11" s="141"/>
      <c r="E11" s="143"/>
      <c r="F11" s="49" t="s">
        <v>107</v>
      </c>
      <c r="G11" s="49" t="s">
        <v>108</v>
      </c>
      <c r="H11" s="49" t="s">
        <v>109</v>
      </c>
      <c r="I11" s="47" t="s">
        <v>110</v>
      </c>
      <c r="J11" s="93" t="s">
        <v>110</v>
      </c>
    </row>
    <row r="12" spans="1:10" s="43" customFormat="1" ht="15.75">
      <c r="A12" s="43" t="s">
        <v>18</v>
      </c>
      <c r="B12" s="51"/>
      <c r="C12" s="52" t="s">
        <v>19</v>
      </c>
      <c r="D12" s="52"/>
      <c r="E12" s="52"/>
      <c r="F12" s="52"/>
      <c r="G12" s="52"/>
      <c r="H12" s="52"/>
      <c r="I12" s="50"/>
      <c r="J12" s="94"/>
    </row>
    <row r="13" spans="1:11" s="65" customFormat="1" ht="42.75">
      <c r="A13" s="107" t="s">
        <v>8</v>
      </c>
      <c r="B13" s="108" t="s">
        <v>187</v>
      </c>
      <c r="C13" s="109" t="s">
        <v>104</v>
      </c>
      <c r="D13" s="110" t="s">
        <v>0</v>
      </c>
      <c r="E13" s="111">
        <v>6</v>
      </c>
      <c r="F13" s="112">
        <f>TRUNC(G19,2)</f>
        <v>180</v>
      </c>
      <c r="G13" s="101">
        <f>TRUNC(F13*1.2338,2)</f>
        <v>222.08</v>
      </c>
      <c r="H13" s="101">
        <f>TRUNC(F13*E13,2)</f>
        <v>1080</v>
      </c>
      <c r="I13" s="102">
        <f>TRUNC(E13*G13,2)</f>
        <v>1332.48</v>
      </c>
      <c r="J13" s="95">
        <v>1321.26</v>
      </c>
      <c r="K13" s="66"/>
    </row>
    <row r="14" spans="1:11" s="65" customFormat="1" ht="28.5">
      <c r="A14" s="59"/>
      <c r="B14" s="60" t="s">
        <v>105</v>
      </c>
      <c r="C14" s="82" t="s">
        <v>106</v>
      </c>
      <c r="D14" s="61" t="s">
        <v>0</v>
      </c>
      <c r="E14" s="83">
        <v>1</v>
      </c>
      <c r="F14" s="62">
        <f>TRUNC(65.3234,2)</f>
        <v>65.32</v>
      </c>
      <c r="G14" s="63">
        <f>TRUNC(E14*F14,2)</f>
        <v>65.32</v>
      </c>
      <c r="H14" s="63"/>
      <c r="I14" s="64"/>
      <c r="J14" s="95"/>
      <c r="K14" s="66"/>
    </row>
    <row r="15" spans="1:11" s="65" customFormat="1" ht="28.5">
      <c r="A15" s="59"/>
      <c r="B15" s="60" t="s">
        <v>4</v>
      </c>
      <c r="C15" s="82" t="s">
        <v>71</v>
      </c>
      <c r="D15" s="61" t="s">
        <v>5</v>
      </c>
      <c r="E15" s="83">
        <v>0.3</v>
      </c>
      <c r="F15" s="62">
        <f>TRUNC(8.55,2)</f>
        <v>8.55</v>
      </c>
      <c r="G15" s="63">
        <f>TRUNC(E15*F15,2)</f>
        <v>2.56</v>
      </c>
      <c r="H15" s="63"/>
      <c r="I15" s="64"/>
      <c r="J15" s="95"/>
      <c r="K15" s="66"/>
    </row>
    <row r="16" spans="1:11" s="65" customFormat="1" ht="14.25">
      <c r="A16" s="59"/>
      <c r="B16" s="60" t="s">
        <v>2</v>
      </c>
      <c r="C16" s="82" t="s">
        <v>382</v>
      </c>
      <c r="D16" s="61" t="s">
        <v>3</v>
      </c>
      <c r="E16" s="83">
        <v>9.2</v>
      </c>
      <c r="F16" s="62">
        <f>TRUNC(3.796,2)</f>
        <v>3.79</v>
      </c>
      <c r="G16" s="63">
        <f>TRUNC(E16*F16,2)</f>
        <v>34.86</v>
      </c>
      <c r="H16" s="63"/>
      <c r="I16" s="64"/>
      <c r="J16" s="95"/>
      <c r="K16" s="66"/>
    </row>
    <row r="17" spans="1:11" s="65" customFormat="1" ht="14.25">
      <c r="A17" s="59"/>
      <c r="B17" s="60" t="s">
        <v>188</v>
      </c>
      <c r="C17" s="82" t="s">
        <v>189</v>
      </c>
      <c r="D17" s="61" t="s">
        <v>6</v>
      </c>
      <c r="E17" s="83">
        <v>2.06</v>
      </c>
      <c r="F17" s="62">
        <f>TRUNC(15.09,2)</f>
        <v>15.09</v>
      </c>
      <c r="G17" s="63">
        <f>TRUNC(E17*F17,2)</f>
        <v>31.08</v>
      </c>
      <c r="H17" s="63"/>
      <c r="I17" s="64"/>
      <c r="J17" s="95"/>
      <c r="K17" s="66"/>
    </row>
    <row r="18" spans="1:11" s="65" customFormat="1" ht="14.25">
      <c r="A18" s="59"/>
      <c r="B18" s="60" t="s">
        <v>190</v>
      </c>
      <c r="C18" s="82" t="s">
        <v>191</v>
      </c>
      <c r="D18" s="61" t="s">
        <v>6</v>
      </c>
      <c r="E18" s="83">
        <v>2.06</v>
      </c>
      <c r="F18" s="62">
        <f>TRUNC(22.42,2)</f>
        <v>22.42</v>
      </c>
      <c r="G18" s="63">
        <f>TRUNC(E18*F18,2)</f>
        <v>46.18</v>
      </c>
      <c r="H18" s="63"/>
      <c r="I18" s="64"/>
      <c r="J18" s="95"/>
      <c r="K18" s="66"/>
    </row>
    <row r="19" spans="1:11" s="65" customFormat="1" ht="14.25">
      <c r="A19" s="59"/>
      <c r="B19" s="60"/>
      <c r="C19" s="82"/>
      <c r="D19" s="61"/>
      <c r="E19" s="83" t="s">
        <v>7</v>
      </c>
      <c r="F19" s="62"/>
      <c r="G19" s="63">
        <f>TRUNC(SUM(G14:G18),2)</f>
        <v>180</v>
      </c>
      <c r="H19" s="63"/>
      <c r="I19" s="64"/>
      <c r="J19" s="95"/>
      <c r="K19" s="66"/>
    </row>
    <row r="20" spans="1:11" s="65" customFormat="1" ht="57">
      <c r="A20" s="107" t="s">
        <v>9</v>
      </c>
      <c r="B20" s="108" t="s">
        <v>192</v>
      </c>
      <c r="C20" s="109" t="s">
        <v>182</v>
      </c>
      <c r="D20" s="110" t="s">
        <v>0</v>
      </c>
      <c r="E20" s="111">
        <v>350.36</v>
      </c>
      <c r="F20" s="112">
        <f>TRUNC(G26,2)</f>
        <v>19.03</v>
      </c>
      <c r="G20" s="101">
        <f>TRUNC(F20*1.2338,2)</f>
        <v>23.47</v>
      </c>
      <c r="H20" s="101">
        <f>TRUNC(F20*E20,2)</f>
        <v>6667.35</v>
      </c>
      <c r="I20" s="102">
        <f>TRUNC(E20*G20,2)</f>
        <v>8222.94</v>
      </c>
      <c r="J20" s="95">
        <v>8187.91</v>
      </c>
      <c r="K20" s="66"/>
    </row>
    <row r="21" spans="1:11" s="65" customFormat="1" ht="14.25">
      <c r="A21" s="59"/>
      <c r="B21" s="60" t="s">
        <v>183</v>
      </c>
      <c r="C21" s="82" t="s">
        <v>184</v>
      </c>
      <c r="D21" s="61" t="s">
        <v>0</v>
      </c>
      <c r="E21" s="83">
        <v>0.2625</v>
      </c>
      <c r="F21" s="62">
        <f>TRUNC(30,2)</f>
        <v>30</v>
      </c>
      <c r="G21" s="63">
        <f>TRUNC(E21*F21,2)</f>
        <v>7.87</v>
      </c>
      <c r="H21" s="63"/>
      <c r="I21" s="64"/>
      <c r="J21" s="95"/>
      <c r="K21" s="66"/>
    </row>
    <row r="22" spans="1:11" s="65" customFormat="1" ht="28.5">
      <c r="A22" s="59"/>
      <c r="B22" s="60" t="s">
        <v>4</v>
      </c>
      <c r="C22" s="82" t="s">
        <v>71</v>
      </c>
      <c r="D22" s="61" t="s">
        <v>5</v>
      </c>
      <c r="E22" s="83">
        <v>0.05</v>
      </c>
      <c r="F22" s="62">
        <f>TRUNC(8.55,2)</f>
        <v>8.55</v>
      </c>
      <c r="G22" s="63">
        <f>TRUNC(E22*F22,2)</f>
        <v>0.42</v>
      </c>
      <c r="H22" s="63"/>
      <c r="I22" s="64"/>
      <c r="J22" s="95"/>
      <c r="K22" s="66"/>
    </row>
    <row r="23" spans="1:11" s="65" customFormat="1" ht="14.25">
      <c r="A23" s="59"/>
      <c r="B23" s="60" t="s">
        <v>2</v>
      </c>
      <c r="C23" s="82" t="s">
        <v>382</v>
      </c>
      <c r="D23" s="61" t="s">
        <v>3</v>
      </c>
      <c r="E23" s="83">
        <v>0.8</v>
      </c>
      <c r="F23" s="62">
        <f>TRUNC(3.796,2)</f>
        <v>3.79</v>
      </c>
      <c r="G23" s="63">
        <f>TRUNC(E23*F23,2)</f>
        <v>3.03</v>
      </c>
      <c r="H23" s="63"/>
      <c r="I23" s="64"/>
      <c r="J23" s="95"/>
      <c r="K23" s="66"/>
    </row>
    <row r="24" spans="1:11" s="65" customFormat="1" ht="14.25">
      <c r="A24" s="59"/>
      <c r="B24" s="60" t="s">
        <v>188</v>
      </c>
      <c r="C24" s="82" t="s">
        <v>189</v>
      </c>
      <c r="D24" s="61" t="s">
        <v>6</v>
      </c>
      <c r="E24" s="83">
        <v>0.20600000000000002</v>
      </c>
      <c r="F24" s="62">
        <f>TRUNC(15.09,2)</f>
        <v>15.09</v>
      </c>
      <c r="G24" s="63">
        <f>TRUNC(E24*F24,2)</f>
        <v>3.1</v>
      </c>
      <c r="H24" s="63"/>
      <c r="I24" s="64"/>
      <c r="J24" s="95"/>
      <c r="K24" s="66"/>
    </row>
    <row r="25" spans="1:11" s="65" customFormat="1" ht="14.25">
      <c r="A25" s="59"/>
      <c r="B25" s="60" t="s">
        <v>190</v>
      </c>
      <c r="C25" s="82" t="s">
        <v>191</v>
      </c>
      <c r="D25" s="61" t="s">
        <v>6</v>
      </c>
      <c r="E25" s="83">
        <v>0.20600000000000002</v>
      </c>
      <c r="F25" s="62">
        <f>TRUNC(22.42,2)</f>
        <v>22.42</v>
      </c>
      <c r="G25" s="63">
        <f>TRUNC(E25*F25,2)</f>
        <v>4.61</v>
      </c>
      <c r="H25" s="63"/>
      <c r="I25" s="64"/>
      <c r="J25" s="95"/>
      <c r="K25" s="66"/>
    </row>
    <row r="26" spans="1:11" s="65" customFormat="1" ht="14.25">
      <c r="A26" s="59"/>
      <c r="B26" s="60"/>
      <c r="C26" s="82"/>
      <c r="D26" s="61"/>
      <c r="E26" s="83" t="s">
        <v>7</v>
      </c>
      <c r="F26" s="62"/>
      <c r="G26" s="63">
        <f>TRUNC(SUM(G21:G25),2)</f>
        <v>19.03</v>
      </c>
      <c r="H26" s="63"/>
      <c r="I26" s="64"/>
      <c r="J26" s="95"/>
      <c r="K26" s="66"/>
    </row>
    <row r="27" spans="1:11" s="65" customFormat="1" ht="57">
      <c r="A27" s="107" t="s">
        <v>10</v>
      </c>
      <c r="B27" s="108" t="s">
        <v>193</v>
      </c>
      <c r="C27" s="99" t="s">
        <v>131</v>
      </c>
      <c r="D27" s="110" t="s">
        <v>0</v>
      </c>
      <c r="E27" s="112">
        <v>8</v>
      </c>
      <c r="F27" s="112">
        <f>TRUNC(G45,2)</f>
        <v>386.72</v>
      </c>
      <c r="G27" s="101">
        <f>TRUNC(F27*1.2338,2)</f>
        <v>477.13</v>
      </c>
      <c r="H27" s="101">
        <f>TRUNC(F27*E27,2)</f>
        <v>3093.76</v>
      </c>
      <c r="I27" s="102">
        <f>TRUNC(E27*G27,2)</f>
        <v>3817.04</v>
      </c>
      <c r="J27" s="95">
        <v>3571.84</v>
      </c>
      <c r="K27" s="66"/>
    </row>
    <row r="28" spans="1:11" s="65" customFormat="1" ht="14.25">
      <c r="A28" s="59"/>
      <c r="B28" s="60" t="s">
        <v>137</v>
      </c>
      <c r="C28" s="67" t="s">
        <v>77</v>
      </c>
      <c r="D28" s="61" t="s">
        <v>12</v>
      </c>
      <c r="E28" s="62">
        <v>0.0808</v>
      </c>
      <c r="F28" s="62">
        <f>TRUNC(6.93,2)</f>
        <v>6.93</v>
      </c>
      <c r="G28" s="63">
        <f aca="true" t="shared" si="0" ref="G28:G44">TRUNC(E28*F28,2)</f>
        <v>0.55</v>
      </c>
      <c r="H28" s="63"/>
      <c r="I28" s="64"/>
      <c r="J28" s="95"/>
      <c r="K28" s="66"/>
    </row>
    <row r="29" spans="1:11" s="65" customFormat="1" ht="14.25">
      <c r="A29" s="59"/>
      <c r="B29" s="60" t="s">
        <v>142</v>
      </c>
      <c r="C29" s="67" t="s">
        <v>80</v>
      </c>
      <c r="D29" s="61" t="s">
        <v>12</v>
      </c>
      <c r="E29" s="62">
        <v>0.0808</v>
      </c>
      <c r="F29" s="62">
        <f>TRUNC(3.1,2)</f>
        <v>3.1</v>
      </c>
      <c r="G29" s="63">
        <f t="shared" si="0"/>
        <v>0.25</v>
      </c>
      <c r="H29" s="63"/>
      <c r="I29" s="64"/>
      <c r="J29" s="95"/>
      <c r="K29" s="66"/>
    </row>
    <row r="30" spans="1:11" s="65" customFormat="1" ht="14.25">
      <c r="A30" s="59"/>
      <c r="B30" s="60" t="s">
        <v>141</v>
      </c>
      <c r="C30" s="67" t="s">
        <v>397</v>
      </c>
      <c r="D30" s="61" t="s">
        <v>12</v>
      </c>
      <c r="E30" s="62">
        <v>0.08</v>
      </c>
      <c r="F30" s="62">
        <f>TRUNC(3.6,2)</f>
        <v>3.6</v>
      </c>
      <c r="G30" s="63">
        <f t="shared" si="0"/>
        <v>0.28</v>
      </c>
      <c r="H30" s="63"/>
      <c r="I30" s="64"/>
      <c r="J30" s="95"/>
      <c r="K30" s="66"/>
    </row>
    <row r="31" spans="1:11" s="65" customFormat="1" ht="28.5">
      <c r="A31" s="59"/>
      <c r="B31" s="60" t="s">
        <v>132</v>
      </c>
      <c r="C31" s="67" t="s">
        <v>133</v>
      </c>
      <c r="D31" s="61" t="s">
        <v>12</v>
      </c>
      <c r="E31" s="62">
        <v>0.06</v>
      </c>
      <c r="F31" s="62">
        <f>TRUNC(7.62,2)</f>
        <v>7.62</v>
      </c>
      <c r="G31" s="63">
        <f t="shared" si="0"/>
        <v>0.45</v>
      </c>
      <c r="H31" s="63"/>
      <c r="I31" s="64"/>
      <c r="J31" s="95"/>
      <c r="K31" s="66"/>
    </row>
    <row r="32" spans="1:11" s="65" customFormat="1" ht="14.25">
      <c r="A32" s="59"/>
      <c r="B32" s="60" t="s">
        <v>140</v>
      </c>
      <c r="C32" s="67" t="s">
        <v>398</v>
      </c>
      <c r="D32" s="61" t="s">
        <v>12</v>
      </c>
      <c r="E32" s="62">
        <v>0.17</v>
      </c>
      <c r="F32" s="62">
        <f>TRUNC(19.9,2)</f>
        <v>19.9</v>
      </c>
      <c r="G32" s="63">
        <f t="shared" si="0"/>
        <v>3.38</v>
      </c>
      <c r="H32" s="63"/>
      <c r="I32" s="64"/>
      <c r="J32" s="95"/>
      <c r="K32" s="66"/>
    </row>
    <row r="33" spans="1:11" s="65" customFormat="1" ht="14.25">
      <c r="A33" s="59"/>
      <c r="B33" s="60" t="s">
        <v>145</v>
      </c>
      <c r="C33" s="67" t="s">
        <v>146</v>
      </c>
      <c r="D33" s="61" t="s">
        <v>12</v>
      </c>
      <c r="E33" s="62">
        <v>0.0202</v>
      </c>
      <c r="F33" s="62">
        <f>TRUNC(8.56,2)</f>
        <v>8.56</v>
      </c>
      <c r="G33" s="63">
        <f t="shared" si="0"/>
        <v>0.17</v>
      </c>
      <c r="H33" s="63"/>
      <c r="I33" s="64"/>
      <c r="J33" s="95"/>
      <c r="K33" s="66"/>
    </row>
    <row r="34" spans="1:11" s="65" customFormat="1" ht="14.25">
      <c r="A34" s="59"/>
      <c r="B34" s="60" t="s">
        <v>138</v>
      </c>
      <c r="C34" s="67" t="s">
        <v>76</v>
      </c>
      <c r="D34" s="61" t="s">
        <v>3</v>
      </c>
      <c r="E34" s="62">
        <v>0.505</v>
      </c>
      <c r="F34" s="62">
        <f>TRUNC(1.9094,2)</f>
        <v>1.9</v>
      </c>
      <c r="G34" s="63">
        <f t="shared" si="0"/>
        <v>0.95</v>
      </c>
      <c r="H34" s="63"/>
      <c r="I34" s="64"/>
      <c r="J34" s="95"/>
      <c r="K34" s="66"/>
    </row>
    <row r="35" spans="1:11" s="65" customFormat="1" ht="28.5">
      <c r="A35" s="59"/>
      <c r="B35" s="60" t="s">
        <v>143</v>
      </c>
      <c r="C35" s="67" t="s">
        <v>144</v>
      </c>
      <c r="D35" s="61" t="s">
        <v>12</v>
      </c>
      <c r="E35" s="62">
        <v>0.275</v>
      </c>
      <c r="F35" s="62">
        <f>TRUNC(44.68,2)</f>
        <v>44.68</v>
      </c>
      <c r="G35" s="63">
        <f t="shared" si="0"/>
        <v>12.28</v>
      </c>
      <c r="H35" s="63"/>
      <c r="I35" s="64"/>
      <c r="J35" s="95"/>
      <c r="K35" s="66"/>
    </row>
    <row r="36" spans="1:11" s="65" customFormat="1" ht="14.25">
      <c r="A36" s="59"/>
      <c r="B36" s="60" t="s">
        <v>2</v>
      </c>
      <c r="C36" s="67" t="s">
        <v>382</v>
      </c>
      <c r="D36" s="61" t="s">
        <v>3</v>
      </c>
      <c r="E36" s="62">
        <v>2</v>
      </c>
      <c r="F36" s="62">
        <f>TRUNC(3.796,2)</f>
        <v>3.79</v>
      </c>
      <c r="G36" s="63">
        <f t="shared" si="0"/>
        <v>7.58</v>
      </c>
      <c r="H36" s="63"/>
      <c r="I36" s="64"/>
      <c r="J36" s="95"/>
      <c r="K36" s="66"/>
    </row>
    <row r="37" spans="1:11" s="65" customFormat="1" ht="14.25">
      <c r="A37" s="59"/>
      <c r="B37" s="60" t="s">
        <v>139</v>
      </c>
      <c r="C37" s="67" t="s">
        <v>78</v>
      </c>
      <c r="D37" s="61" t="s">
        <v>12</v>
      </c>
      <c r="E37" s="62">
        <v>0.95</v>
      </c>
      <c r="F37" s="62">
        <f>TRUNC(1.5,2)</f>
        <v>1.5</v>
      </c>
      <c r="G37" s="63">
        <f t="shared" si="0"/>
        <v>1.42</v>
      </c>
      <c r="H37" s="63"/>
      <c r="I37" s="64"/>
      <c r="J37" s="95"/>
      <c r="K37" s="66"/>
    </row>
    <row r="38" spans="1:11" s="65" customFormat="1" ht="28.5">
      <c r="A38" s="59"/>
      <c r="B38" s="60" t="s">
        <v>4</v>
      </c>
      <c r="C38" s="67" t="s">
        <v>71</v>
      </c>
      <c r="D38" s="61" t="s">
        <v>5</v>
      </c>
      <c r="E38" s="62">
        <v>0.12</v>
      </c>
      <c r="F38" s="62">
        <f>TRUNC(8.55,2)</f>
        <v>8.55</v>
      </c>
      <c r="G38" s="63">
        <f t="shared" si="0"/>
        <v>1.02</v>
      </c>
      <c r="H38" s="63"/>
      <c r="I38" s="64"/>
      <c r="J38" s="95"/>
      <c r="K38" s="66"/>
    </row>
    <row r="39" spans="1:11" s="65" customFormat="1" ht="14.25">
      <c r="A39" s="59"/>
      <c r="B39" s="60" t="s">
        <v>136</v>
      </c>
      <c r="C39" s="67" t="s">
        <v>79</v>
      </c>
      <c r="D39" s="61" t="s">
        <v>0</v>
      </c>
      <c r="E39" s="62">
        <v>0.06</v>
      </c>
      <c r="F39" s="62">
        <f>TRUNC(36.176,2)</f>
        <v>36.17</v>
      </c>
      <c r="G39" s="63">
        <f t="shared" si="0"/>
        <v>2.17</v>
      </c>
      <c r="H39" s="63"/>
      <c r="I39" s="64"/>
      <c r="J39" s="95"/>
      <c r="K39" s="66"/>
    </row>
    <row r="40" spans="1:11" s="65" customFormat="1" ht="14.25">
      <c r="A40" s="59"/>
      <c r="B40" s="60" t="s">
        <v>134</v>
      </c>
      <c r="C40" s="67" t="s">
        <v>135</v>
      </c>
      <c r="D40" s="61" t="s">
        <v>12</v>
      </c>
      <c r="E40" s="62">
        <v>0.17170000000000002</v>
      </c>
      <c r="F40" s="62">
        <f>TRUNC(2.73,2)</f>
        <v>2.73</v>
      </c>
      <c r="G40" s="63">
        <f t="shared" si="0"/>
        <v>0.46</v>
      </c>
      <c r="H40" s="63"/>
      <c r="I40" s="64"/>
      <c r="J40" s="95"/>
      <c r="K40" s="66"/>
    </row>
    <row r="41" spans="1:11" s="65" customFormat="1" ht="14.25">
      <c r="A41" s="59"/>
      <c r="B41" s="60" t="s">
        <v>190</v>
      </c>
      <c r="C41" s="67" t="s">
        <v>191</v>
      </c>
      <c r="D41" s="61" t="s">
        <v>6</v>
      </c>
      <c r="E41" s="62">
        <v>8.137</v>
      </c>
      <c r="F41" s="62">
        <f>TRUNC(22.42,2)</f>
        <v>22.42</v>
      </c>
      <c r="G41" s="63">
        <f t="shared" si="0"/>
        <v>182.43</v>
      </c>
      <c r="H41" s="63"/>
      <c r="I41" s="64"/>
      <c r="J41" s="95"/>
      <c r="K41" s="66"/>
    </row>
    <row r="42" spans="1:11" s="65" customFormat="1" ht="14.25">
      <c r="A42" s="59"/>
      <c r="B42" s="60" t="s">
        <v>188</v>
      </c>
      <c r="C42" s="67" t="s">
        <v>189</v>
      </c>
      <c r="D42" s="61" t="s">
        <v>6</v>
      </c>
      <c r="E42" s="62">
        <v>8.549000000000001</v>
      </c>
      <c r="F42" s="62">
        <f>TRUNC(15.09,2)</f>
        <v>15.09</v>
      </c>
      <c r="G42" s="63">
        <f t="shared" si="0"/>
        <v>129</v>
      </c>
      <c r="H42" s="63"/>
      <c r="I42" s="64"/>
      <c r="J42" s="95"/>
      <c r="K42" s="66"/>
    </row>
    <row r="43" spans="1:11" s="65" customFormat="1" ht="14.25">
      <c r="A43" s="59"/>
      <c r="B43" s="60" t="s">
        <v>194</v>
      </c>
      <c r="C43" s="67" t="s">
        <v>195</v>
      </c>
      <c r="D43" s="61" t="s">
        <v>6</v>
      </c>
      <c r="E43" s="62">
        <v>0.41200000000000003</v>
      </c>
      <c r="F43" s="62">
        <f>TRUNC(20.83,2)</f>
        <v>20.83</v>
      </c>
      <c r="G43" s="63">
        <f t="shared" si="0"/>
        <v>8.58</v>
      </c>
      <c r="H43" s="63"/>
      <c r="I43" s="64"/>
      <c r="J43" s="95"/>
      <c r="K43" s="66"/>
    </row>
    <row r="44" spans="1:11" s="65" customFormat="1" ht="14.25">
      <c r="A44" s="59"/>
      <c r="B44" s="60" t="s">
        <v>196</v>
      </c>
      <c r="C44" s="67" t="s">
        <v>399</v>
      </c>
      <c r="D44" s="61" t="s">
        <v>0</v>
      </c>
      <c r="E44" s="62">
        <v>1.65</v>
      </c>
      <c r="F44" s="62">
        <f>TRUNC(21.6761,2)</f>
        <v>21.67</v>
      </c>
      <c r="G44" s="63">
        <f t="shared" si="0"/>
        <v>35.75</v>
      </c>
      <c r="H44" s="63"/>
      <c r="I44" s="64"/>
      <c r="J44" s="95"/>
      <c r="K44" s="66"/>
    </row>
    <row r="45" spans="1:11" s="65" customFormat="1" ht="14.25">
      <c r="A45" s="59"/>
      <c r="B45" s="60"/>
      <c r="C45" s="67"/>
      <c r="D45" s="61"/>
      <c r="E45" s="62" t="s">
        <v>7</v>
      </c>
      <c r="F45" s="62"/>
      <c r="G45" s="63">
        <f>TRUNC(SUM(G28:G44),2)</f>
        <v>386.72</v>
      </c>
      <c r="H45" s="63"/>
      <c r="I45" s="64"/>
      <c r="J45" s="95"/>
      <c r="K45" s="66"/>
    </row>
    <row r="46" spans="1:11" s="65" customFormat="1" ht="42.75">
      <c r="A46" s="107" t="s">
        <v>11</v>
      </c>
      <c r="B46" s="108" t="s">
        <v>197</v>
      </c>
      <c r="C46" s="99" t="s">
        <v>149</v>
      </c>
      <c r="D46" s="110" t="s">
        <v>0</v>
      </c>
      <c r="E46" s="101">
        <v>258.94</v>
      </c>
      <c r="F46" s="112">
        <f>TRUNC(G50,2)</f>
        <v>9.33</v>
      </c>
      <c r="G46" s="101">
        <f>TRUNC(F46*1.2338,2)</f>
        <v>11.51</v>
      </c>
      <c r="H46" s="101">
        <f>TRUNC(F46*E46,2)</f>
        <v>2415.91</v>
      </c>
      <c r="I46" s="102">
        <f>TRUNC(E46*G46,2)</f>
        <v>2980.39</v>
      </c>
      <c r="J46" s="95">
        <v>2765.47</v>
      </c>
      <c r="K46" s="66"/>
    </row>
    <row r="47" spans="1:11" s="65" customFormat="1" ht="14.25">
      <c r="A47" s="59"/>
      <c r="B47" s="60" t="s">
        <v>188</v>
      </c>
      <c r="C47" s="67" t="s">
        <v>189</v>
      </c>
      <c r="D47" s="61" t="s">
        <v>6</v>
      </c>
      <c r="E47" s="63">
        <v>0.515</v>
      </c>
      <c r="F47" s="62">
        <f>TRUNC(15.09,2)</f>
        <v>15.09</v>
      </c>
      <c r="G47" s="63">
        <f>TRUNC(E47*F47,2)</f>
        <v>7.77</v>
      </c>
      <c r="H47" s="63"/>
      <c r="I47" s="64"/>
      <c r="J47" s="95"/>
      <c r="K47" s="66"/>
    </row>
    <row r="48" spans="1:11" s="65" customFormat="1" ht="14.25">
      <c r="A48" s="59"/>
      <c r="B48" s="60" t="s">
        <v>198</v>
      </c>
      <c r="C48" s="67" t="s">
        <v>199</v>
      </c>
      <c r="D48" s="61" t="s">
        <v>6</v>
      </c>
      <c r="E48" s="63">
        <v>0.004</v>
      </c>
      <c r="F48" s="62">
        <f>TRUNC(42.26,2)</f>
        <v>42.26</v>
      </c>
      <c r="G48" s="63">
        <f>TRUNC(E48*F48,2)</f>
        <v>0.16</v>
      </c>
      <c r="H48" s="63"/>
      <c r="I48" s="64"/>
      <c r="J48" s="95"/>
      <c r="K48" s="66"/>
    </row>
    <row r="49" spans="1:11" s="65" customFormat="1" ht="14.25">
      <c r="A49" s="59"/>
      <c r="B49" s="60" t="s">
        <v>200</v>
      </c>
      <c r="C49" s="67" t="s">
        <v>201</v>
      </c>
      <c r="D49" s="61" t="s">
        <v>6</v>
      </c>
      <c r="E49" s="63">
        <v>0.016</v>
      </c>
      <c r="F49" s="62">
        <f>TRUNC(88.1127,2)</f>
        <v>88.11</v>
      </c>
      <c r="G49" s="63">
        <f>TRUNC(E49*F49,2)</f>
        <v>1.4</v>
      </c>
      <c r="H49" s="63"/>
      <c r="I49" s="64"/>
      <c r="J49" s="95"/>
      <c r="K49" s="66"/>
    </row>
    <row r="50" spans="1:11" s="65" customFormat="1" ht="14.25">
      <c r="A50" s="59"/>
      <c r="B50" s="60"/>
      <c r="C50" s="67"/>
      <c r="D50" s="61"/>
      <c r="E50" s="63" t="s">
        <v>7</v>
      </c>
      <c r="F50" s="62"/>
      <c r="G50" s="63">
        <f>TRUNC(SUM(G47:G49),2)</f>
        <v>9.33</v>
      </c>
      <c r="H50" s="63"/>
      <c r="I50" s="64"/>
      <c r="J50" s="95"/>
      <c r="K50" s="66"/>
    </row>
    <row r="51" spans="1:11" s="65" customFormat="1" ht="28.5">
      <c r="A51" s="107" t="s">
        <v>242</v>
      </c>
      <c r="B51" s="108" t="s">
        <v>512</v>
      </c>
      <c r="C51" s="99" t="s">
        <v>513</v>
      </c>
      <c r="D51" s="110" t="s">
        <v>3</v>
      </c>
      <c r="E51" s="112">
        <v>25.4</v>
      </c>
      <c r="F51" s="112">
        <f>TRUNC(G53,2)</f>
        <v>11.65</v>
      </c>
      <c r="G51" s="101">
        <f>TRUNC(F51*1.2338,2)</f>
        <v>14.37</v>
      </c>
      <c r="H51" s="101">
        <f>TRUNC(F51*E51,2)</f>
        <v>295.91</v>
      </c>
      <c r="I51" s="102">
        <f>TRUNC(E51*G51,2)</f>
        <v>364.99</v>
      </c>
      <c r="J51" s="95">
        <v>332.74</v>
      </c>
      <c r="K51" s="66"/>
    </row>
    <row r="52" spans="1:11" s="65" customFormat="1" ht="14.25">
      <c r="A52" s="59"/>
      <c r="B52" s="60" t="s">
        <v>188</v>
      </c>
      <c r="C52" s="67" t="s">
        <v>189</v>
      </c>
      <c r="D52" s="61" t="s">
        <v>6</v>
      </c>
      <c r="E52" s="62">
        <v>0.7725</v>
      </c>
      <c r="F52" s="62">
        <f>TRUNC(15.09,2)</f>
        <v>15.09</v>
      </c>
      <c r="G52" s="63">
        <f>TRUNC(E52*F52,2)</f>
        <v>11.65</v>
      </c>
      <c r="H52" s="63"/>
      <c r="I52" s="64"/>
      <c r="J52" s="95"/>
      <c r="K52" s="66"/>
    </row>
    <row r="53" spans="1:11" s="65" customFormat="1" ht="14.25">
      <c r="A53" s="59"/>
      <c r="B53" s="60"/>
      <c r="C53" s="67"/>
      <c r="D53" s="61"/>
      <c r="E53" s="62" t="s">
        <v>7</v>
      </c>
      <c r="F53" s="62"/>
      <c r="G53" s="63">
        <f>TRUNC(SUM(G52:G52),2)</f>
        <v>11.65</v>
      </c>
      <c r="H53" s="63"/>
      <c r="I53" s="64"/>
      <c r="J53" s="95"/>
      <c r="K53" s="66"/>
    </row>
    <row r="54" spans="1:11" s="65" customFormat="1" ht="42.75">
      <c r="A54" s="107" t="s">
        <v>374</v>
      </c>
      <c r="B54" s="108" t="s">
        <v>499</v>
      </c>
      <c r="C54" s="99" t="s">
        <v>500</v>
      </c>
      <c r="D54" s="110" t="s">
        <v>6</v>
      </c>
      <c r="E54" s="112">
        <v>16</v>
      </c>
      <c r="F54" s="112">
        <f>TRUNC(G60,2)</f>
        <v>51.8</v>
      </c>
      <c r="G54" s="101">
        <f>TRUNC(F54*1.2338,2)</f>
        <v>63.91</v>
      </c>
      <c r="H54" s="101">
        <f>TRUNC(F54*E54,2)</f>
        <v>828.8</v>
      </c>
      <c r="I54" s="102">
        <f>TRUNC(E54*G54,2)</f>
        <v>1022.56</v>
      </c>
      <c r="J54" s="115">
        <v>1010.72</v>
      </c>
      <c r="K54" s="66"/>
    </row>
    <row r="55" spans="1:11" s="65" customFormat="1" ht="14.25">
      <c r="A55" s="59"/>
      <c r="B55" s="60" t="s">
        <v>501</v>
      </c>
      <c r="C55" s="67" t="s">
        <v>502</v>
      </c>
      <c r="D55" s="61" t="s">
        <v>5</v>
      </c>
      <c r="E55" s="62">
        <v>0.02</v>
      </c>
      <c r="F55" s="62">
        <f>TRUNC(5.6,2)</f>
        <v>5.6</v>
      </c>
      <c r="G55" s="63">
        <f>TRUNC(E55*F55,2)</f>
        <v>0.11</v>
      </c>
      <c r="H55" s="81"/>
      <c r="I55" s="64"/>
      <c r="J55" s="95"/>
      <c r="K55" s="66"/>
    </row>
    <row r="56" spans="1:11" s="65" customFormat="1" ht="14.25">
      <c r="A56" s="59"/>
      <c r="B56" s="60" t="s">
        <v>503</v>
      </c>
      <c r="C56" s="67" t="s">
        <v>504</v>
      </c>
      <c r="D56" s="61" t="s">
        <v>505</v>
      </c>
      <c r="E56" s="62">
        <v>0.06</v>
      </c>
      <c r="F56" s="62">
        <f>TRUNC(8,2)</f>
        <v>8</v>
      </c>
      <c r="G56" s="63">
        <f>TRUNC(E56*F56,2)</f>
        <v>0.48</v>
      </c>
      <c r="H56" s="81"/>
      <c r="I56" s="64"/>
      <c r="J56" s="95"/>
      <c r="K56" s="66"/>
    </row>
    <row r="57" spans="1:11" s="65" customFormat="1" ht="14.25">
      <c r="A57" s="59"/>
      <c r="B57" s="60" t="s">
        <v>506</v>
      </c>
      <c r="C57" s="67" t="s">
        <v>507</v>
      </c>
      <c r="D57" s="61" t="s">
        <v>505</v>
      </c>
      <c r="E57" s="62">
        <v>1.1</v>
      </c>
      <c r="F57" s="62">
        <f>TRUNC(3.545,2)</f>
        <v>3.54</v>
      </c>
      <c r="G57" s="63">
        <f>TRUNC(E57*F57,2)</f>
        <v>3.89</v>
      </c>
      <c r="H57" s="81"/>
      <c r="I57" s="64"/>
      <c r="J57" s="95"/>
      <c r="K57" s="66"/>
    </row>
    <row r="58" spans="1:11" s="65" customFormat="1" ht="14.25">
      <c r="A58" s="59"/>
      <c r="B58" s="60" t="s">
        <v>508</v>
      </c>
      <c r="C58" s="67" t="s">
        <v>509</v>
      </c>
      <c r="D58" s="61" t="s">
        <v>6</v>
      </c>
      <c r="E58" s="62">
        <v>1</v>
      </c>
      <c r="F58" s="62">
        <f>TRUNC(23.41,2)</f>
        <v>23.41</v>
      </c>
      <c r="G58" s="63">
        <f>TRUNC(E58*F58,2)</f>
        <v>23.41</v>
      </c>
      <c r="H58" s="81"/>
      <c r="I58" s="64"/>
      <c r="J58" s="95"/>
      <c r="K58" s="66"/>
    </row>
    <row r="59" spans="1:11" s="65" customFormat="1" ht="28.5">
      <c r="A59" s="59"/>
      <c r="B59" s="60" t="s">
        <v>510</v>
      </c>
      <c r="C59" s="67" t="s">
        <v>511</v>
      </c>
      <c r="D59" s="61" t="s">
        <v>12</v>
      </c>
      <c r="E59" s="62">
        <v>0.0001</v>
      </c>
      <c r="F59" s="62">
        <f>TRUNC(239156,2)</f>
        <v>239156</v>
      </c>
      <c r="G59" s="63">
        <f>TRUNC(E59*F59,2)</f>
        <v>23.91</v>
      </c>
      <c r="H59" s="81"/>
      <c r="I59" s="64"/>
      <c r="J59" s="95"/>
      <c r="K59" s="66"/>
    </row>
    <row r="60" spans="1:11" s="65" customFormat="1" ht="14.25">
      <c r="A60" s="59"/>
      <c r="B60" s="60"/>
      <c r="C60" s="67"/>
      <c r="D60" s="61"/>
      <c r="E60" s="62" t="s">
        <v>7</v>
      </c>
      <c r="F60" s="62"/>
      <c r="G60" s="63">
        <f>TRUNC(SUM(G55:G59),2)</f>
        <v>51.8</v>
      </c>
      <c r="H60" s="81"/>
      <c r="I60" s="64"/>
      <c r="J60" s="95"/>
      <c r="K60" s="66"/>
    </row>
    <row r="61" spans="1:11" s="65" customFormat="1" ht="14.25">
      <c r="A61" s="107" t="s">
        <v>534</v>
      </c>
      <c r="B61" s="108" t="s">
        <v>798</v>
      </c>
      <c r="C61" s="99" t="s">
        <v>443</v>
      </c>
      <c r="D61" s="110" t="s">
        <v>12</v>
      </c>
      <c r="E61" s="112">
        <v>1</v>
      </c>
      <c r="F61" s="112">
        <f>TRUNC(G81,2)</f>
        <v>1512.27</v>
      </c>
      <c r="G61" s="101">
        <f>TRUNC(F61*1.2338,2)</f>
        <v>1865.83</v>
      </c>
      <c r="H61" s="101">
        <f>TRUNC(F61*E61,2)</f>
        <v>1512.27</v>
      </c>
      <c r="I61" s="102">
        <f>TRUNC(E61*G61,2)</f>
        <v>1865.83</v>
      </c>
      <c r="J61" s="95">
        <v>1912.53</v>
      </c>
      <c r="K61" s="66"/>
    </row>
    <row r="62" spans="1:11" s="65" customFormat="1" ht="14.25">
      <c r="A62" s="59"/>
      <c r="B62" s="60" t="s">
        <v>799</v>
      </c>
      <c r="C62" s="67" t="s">
        <v>460</v>
      </c>
      <c r="D62" s="61" t="s">
        <v>12</v>
      </c>
      <c r="E62" s="62">
        <v>1</v>
      </c>
      <c r="F62" s="62">
        <f>TRUNC(74.78,2)</f>
        <v>74.78</v>
      </c>
      <c r="G62" s="63">
        <f aca="true" t="shared" si="1" ref="G62:G80">TRUNC(E62*F62,2)</f>
        <v>74.78</v>
      </c>
      <c r="H62" s="63"/>
      <c r="I62" s="64"/>
      <c r="J62" s="95"/>
      <c r="K62" s="66"/>
    </row>
    <row r="63" spans="1:11" s="65" customFormat="1" ht="14.25">
      <c r="A63" s="59"/>
      <c r="B63" s="60" t="s">
        <v>800</v>
      </c>
      <c r="C63" s="67" t="s">
        <v>446</v>
      </c>
      <c r="D63" s="61" t="s">
        <v>3</v>
      </c>
      <c r="E63" s="62">
        <v>3</v>
      </c>
      <c r="F63" s="62">
        <f>TRUNC(9.54,2)</f>
        <v>9.54</v>
      </c>
      <c r="G63" s="63">
        <f t="shared" si="1"/>
        <v>28.62</v>
      </c>
      <c r="H63" s="63"/>
      <c r="I63" s="64"/>
      <c r="J63" s="95"/>
      <c r="K63" s="66"/>
    </row>
    <row r="64" spans="1:11" s="65" customFormat="1" ht="28.5">
      <c r="A64" s="59"/>
      <c r="B64" s="60" t="s">
        <v>801</v>
      </c>
      <c r="C64" s="67" t="s">
        <v>447</v>
      </c>
      <c r="D64" s="61" t="s">
        <v>3</v>
      </c>
      <c r="E64" s="62">
        <v>27</v>
      </c>
      <c r="F64" s="62">
        <f>TRUNC(5.17,2)</f>
        <v>5.17</v>
      </c>
      <c r="G64" s="63">
        <f t="shared" si="1"/>
        <v>139.59</v>
      </c>
      <c r="H64" s="63"/>
      <c r="I64" s="64"/>
      <c r="J64" s="95"/>
      <c r="K64" s="66"/>
    </row>
    <row r="65" spans="1:11" s="65" customFormat="1" ht="14.25">
      <c r="A65" s="59"/>
      <c r="B65" s="60" t="s">
        <v>802</v>
      </c>
      <c r="C65" s="67" t="s">
        <v>452</v>
      </c>
      <c r="D65" s="61" t="s">
        <v>12</v>
      </c>
      <c r="E65" s="62">
        <v>0.1333333</v>
      </c>
      <c r="F65" s="62">
        <f>TRUNC(63.35,2)</f>
        <v>63.35</v>
      </c>
      <c r="G65" s="63">
        <f t="shared" si="1"/>
        <v>8.44</v>
      </c>
      <c r="H65" s="63"/>
      <c r="I65" s="64"/>
      <c r="J65" s="95"/>
      <c r="K65" s="66"/>
    </row>
    <row r="66" spans="1:11" s="65" customFormat="1" ht="28.5">
      <c r="A66" s="59"/>
      <c r="B66" s="60" t="s">
        <v>803</v>
      </c>
      <c r="C66" s="67" t="s">
        <v>445</v>
      </c>
      <c r="D66" s="61" t="s">
        <v>12</v>
      </c>
      <c r="E66" s="62">
        <v>2</v>
      </c>
      <c r="F66" s="62">
        <f>TRUNC(19.77,2)</f>
        <v>19.77</v>
      </c>
      <c r="G66" s="63">
        <f t="shared" si="1"/>
        <v>39.54</v>
      </c>
      <c r="H66" s="63"/>
      <c r="I66" s="64"/>
      <c r="J66" s="95"/>
      <c r="K66" s="66"/>
    </row>
    <row r="67" spans="1:11" s="65" customFormat="1" ht="28.5">
      <c r="A67" s="59"/>
      <c r="B67" s="60" t="s">
        <v>804</v>
      </c>
      <c r="C67" s="67" t="s">
        <v>448</v>
      </c>
      <c r="D67" s="61" t="s">
        <v>12</v>
      </c>
      <c r="E67" s="62">
        <v>1</v>
      </c>
      <c r="F67" s="62">
        <f>TRUNC(89.66,2)</f>
        <v>89.66</v>
      </c>
      <c r="G67" s="63">
        <f t="shared" si="1"/>
        <v>89.66</v>
      </c>
      <c r="H67" s="63"/>
      <c r="I67" s="64"/>
      <c r="J67" s="95"/>
      <c r="K67" s="66"/>
    </row>
    <row r="68" spans="1:11" s="65" customFormat="1" ht="28.5">
      <c r="A68" s="59"/>
      <c r="B68" s="60" t="s">
        <v>805</v>
      </c>
      <c r="C68" s="67" t="s">
        <v>449</v>
      </c>
      <c r="D68" s="61" t="s">
        <v>12</v>
      </c>
      <c r="E68" s="62">
        <v>2</v>
      </c>
      <c r="F68" s="62">
        <f>TRUNC(65.6,2)</f>
        <v>65.6</v>
      </c>
      <c r="G68" s="63">
        <f t="shared" si="1"/>
        <v>131.2</v>
      </c>
      <c r="H68" s="63"/>
      <c r="I68" s="64"/>
      <c r="J68" s="95"/>
      <c r="K68" s="66"/>
    </row>
    <row r="69" spans="1:11" s="65" customFormat="1" ht="14.25">
      <c r="A69" s="59"/>
      <c r="B69" s="60" t="s">
        <v>806</v>
      </c>
      <c r="C69" s="67" t="s">
        <v>451</v>
      </c>
      <c r="D69" s="61" t="s">
        <v>12</v>
      </c>
      <c r="E69" s="62">
        <v>4</v>
      </c>
      <c r="F69" s="62">
        <f>TRUNC(1.37,2)</f>
        <v>1.37</v>
      </c>
      <c r="G69" s="63">
        <f t="shared" si="1"/>
        <v>5.48</v>
      </c>
      <c r="H69" s="63"/>
      <c r="I69" s="64"/>
      <c r="J69" s="95"/>
      <c r="K69" s="66"/>
    </row>
    <row r="70" spans="1:11" s="65" customFormat="1" ht="14.25">
      <c r="A70" s="59"/>
      <c r="B70" s="60" t="s">
        <v>807</v>
      </c>
      <c r="C70" s="67" t="s">
        <v>459</v>
      </c>
      <c r="D70" s="61" t="s">
        <v>12</v>
      </c>
      <c r="E70" s="62">
        <v>2</v>
      </c>
      <c r="F70" s="62">
        <f>TRUNC(0.7,2)</f>
        <v>0.7</v>
      </c>
      <c r="G70" s="63">
        <f t="shared" si="1"/>
        <v>1.4</v>
      </c>
      <c r="H70" s="63"/>
      <c r="I70" s="64"/>
      <c r="J70" s="95"/>
      <c r="K70" s="66"/>
    </row>
    <row r="71" spans="1:11" s="65" customFormat="1" ht="14.25">
      <c r="A71" s="59"/>
      <c r="B71" s="60" t="s">
        <v>808</v>
      </c>
      <c r="C71" s="67" t="s">
        <v>453</v>
      </c>
      <c r="D71" s="61" t="s">
        <v>3</v>
      </c>
      <c r="E71" s="62">
        <v>8</v>
      </c>
      <c r="F71" s="62">
        <f>TRUNC(4.86,2)</f>
        <v>4.86</v>
      </c>
      <c r="G71" s="63">
        <f t="shared" si="1"/>
        <v>38.88</v>
      </c>
      <c r="H71" s="63"/>
      <c r="I71" s="64"/>
      <c r="J71" s="95"/>
      <c r="K71" s="66"/>
    </row>
    <row r="72" spans="1:11" s="65" customFormat="1" ht="28.5">
      <c r="A72" s="59"/>
      <c r="B72" s="60" t="s">
        <v>809</v>
      </c>
      <c r="C72" s="67" t="s">
        <v>444</v>
      </c>
      <c r="D72" s="61" t="s">
        <v>3</v>
      </c>
      <c r="E72" s="62">
        <v>7.96</v>
      </c>
      <c r="F72" s="62">
        <f>TRUNC(54.28,2)</f>
        <v>54.28</v>
      </c>
      <c r="G72" s="63">
        <f t="shared" si="1"/>
        <v>432.06</v>
      </c>
      <c r="H72" s="63"/>
      <c r="I72" s="64"/>
      <c r="J72" s="95"/>
      <c r="K72" s="66"/>
    </row>
    <row r="73" spans="1:11" s="65" customFormat="1" ht="28.5">
      <c r="A73" s="59"/>
      <c r="B73" s="60" t="s">
        <v>810</v>
      </c>
      <c r="C73" s="67" t="s">
        <v>454</v>
      </c>
      <c r="D73" s="61" t="s">
        <v>12</v>
      </c>
      <c r="E73" s="62">
        <v>1</v>
      </c>
      <c r="F73" s="62">
        <f>TRUNC(48.36,2)</f>
        <v>48.36</v>
      </c>
      <c r="G73" s="63">
        <f t="shared" si="1"/>
        <v>48.36</v>
      </c>
      <c r="H73" s="63"/>
      <c r="I73" s="64"/>
      <c r="J73" s="95"/>
      <c r="K73" s="66"/>
    </row>
    <row r="74" spans="1:11" s="65" customFormat="1" ht="28.5">
      <c r="A74" s="59"/>
      <c r="B74" s="60" t="s">
        <v>811</v>
      </c>
      <c r="C74" s="67" t="s">
        <v>455</v>
      </c>
      <c r="D74" s="61" t="s">
        <v>12</v>
      </c>
      <c r="E74" s="62">
        <v>2</v>
      </c>
      <c r="F74" s="62">
        <f>TRUNC(7.03,2)</f>
        <v>7.03</v>
      </c>
      <c r="G74" s="63">
        <f t="shared" si="1"/>
        <v>14.06</v>
      </c>
      <c r="H74" s="63"/>
      <c r="I74" s="64"/>
      <c r="J74" s="95"/>
      <c r="K74" s="66"/>
    </row>
    <row r="75" spans="1:11" s="65" customFormat="1" ht="28.5">
      <c r="A75" s="59"/>
      <c r="B75" s="60" t="s">
        <v>812</v>
      </c>
      <c r="C75" s="67" t="s">
        <v>456</v>
      </c>
      <c r="D75" s="61" t="s">
        <v>12</v>
      </c>
      <c r="E75" s="62">
        <v>2</v>
      </c>
      <c r="F75" s="62">
        <f>TRUNC(7.35,2)</f>
        <v>7.35</v>
      </c>
      <c r="G75" s="63">
        <f t="shared" si="1"/>
        <v>14.7</v>
      </c>
      <c r="H75" s="63"/>
      <c r="I75" s="64"/>
      <c r="J75" s="95"/>
      <c r="K75" s="66"/>
    </row>
    <row r="76" spans="1:11" s="65" customFormat="1" ht="14.25">
      <c r="A76" s="59"/>
      <c r="B76" s="60" t="s">
        <v>813</v>
      </c>
      <c r="C76" s="67" t="s">
        <v>457</v>
      </c>
      <c r="D76" s="61" t="s">
        <v>12</v>
      </c>
      <c r="E76" s="62">
        <v>2</v>
      </c>
      <c r="F76" s="62">
        <f>TRUNC(3.89,2)</f>
        <v>3.89</v>
      </c>
      <c r="G76" s="63">
        <f t="shared" si="1"/>
        <v>7.78</v>
      </c>
      <c r="H76" s="63"/>
      <c r="I76" s="64"/>
      <c r="J76" s="95"/>
      <c r="K76" s="66"/>
    </row>
    <row r="77" spans="1:11" s="65" customFormat="1" ht="14.25">
      <c r="A77" s="59"/>
      <c r="B77" s="60" t="s">
        <v>814</v>
      </c>
      <c r="C77" s="67" t="s">
        <v>458</v>
      </c>
      <c r="D77" s="61" t="s">
        <v>12</v>
      </c>
      <c r="E77" s="62">
        <v>2</v>
      </c>
      <c r="F77" s="62">
        <f>TRUNC(0.94,2)</f>
        <v>0.94</v>
      </c>
      <c r="G77" s="63">
        <f t="shared" si="1"/>
        <v>1.88</v>
      </c>
      <c r="H77" s="63"/>
      <c r="I77" s="64"/>
      <c r="J77" s="95"/>
      <c r="K77" s="66"/>
    </row>
    <row r="78" spans="1:11" s="65" customFormat="1" ht="14.25">
      <c r="A78" s="59"/>
      <c r="B78" s="60" t="s">
        <v>815</v>
      </c>
      <c r="C78" s="67" t="s">
        <v>450</v>
      </c>
      <c r="D78" s="61" t="s">
        <v>12</v>
      </c>
      <c r="E78" s="62">
        <v>8</v>
      </c>
      <c r="F78" s="62">
        <f>TRUNC(4.65,2)</f>
        <v>4.65</v>
      </c>
      <c r="G78" s="63">
        <f t="shared" si="1"/>
        <v>37.2</v>
      </c>
      <c r="H78" s="63"/>
      <c r="I78" s="64"/>
      <c r="J78" s="95"/>
      <c r="K78" s="66"/>
    </row>
    <row r="79" spans="1:11" s="65" customFormat="1" ht="14.25">
      <c r="A79" s="59"/>
      <c r="B79" s="60" t="s">
        <v>816</v>
      </c>
      <c r="C79" s="67" t="s">
        <v>296</v>
      </c>
      <c r="D79" s="61" t="s">
        <v>6</v>
      </c>
      <c r="E79" s="62">
        <v>8</v>
      </c>
      <c r="F79" s="62">
        <f>TRUNC(27.97,2)</f>
        <v>27.97</v>
      </c>
      <c r="G79" s="63">
        <f t="shared" si="1"/>
        <v>223.76</v>
      </c>
      <c r="H79" s="63"/>
      <c r="I79" s="64"/>
      <c r="J79" s="95"/>
      <c r="K79" s="66"/>
    </row>
    <row r="80" spans="1:11" s="65" customFormat="1" ht="14.25">
      <c r="A80" s="59"/>
      <c r="B80" s="60" t="s">
        <v>817</v>
      </c>
      <c r="C80" s="67" t="s">
        <v>127</v>
      </c>
      <c r="D80" s="61" t="s">
        <v>6</v>
      </c>
      <c r="E80" s="62">
        <v>8</v>
      </c>
      <c r="F80" s="62">
        <f>TRUNC(21.86,2)</f>
        <v>21.86</v>
      </c>
      <c r="G80" s="63">
        <f t="shared" si="1"/>
        <v>174.88</v>
      </c>
      <c r="H80" s="63"/>
      <c r="I80" s="64"/>
      <c r="J80" s="95"/>
      <c r="K80" s="66"/>
    </row>
    <row r="81" spans="1:11" s="65" customFormat="1" ht="14.25">
      <c r="A81" s="59"/>
      <c r="B81" s="60"/>
      <c r="C81" s="67"/>
      <c r="D81" s="61"/>
      <c r="E81" s="62" t="s">
        <v>7</v>
      </c>
      <c r="F81" s="62"/>
      <c r="G81" s="63">
        <f>TRUNC(SUM(G62:G80),2)</f>
        <v>1512.27</v>
      </c>
      <c r="H81" s="63"/>
      <c r="I81" s="64"/>
      <c r="J81" s="95"/>
      <c r="K81" s="66"/>
    </row>
    <row r="82" spans="1:11" s="65" customFormat="1" ht="42.75">
      <c r="A82" s="107" t="s">
        <v>535</v>
      </c>
      <c r="B82" s="108" t="s">
        <v>485</v>
      </c>
      <c r="C82" s="99" t="s">
        <v>461</v>
      </c>
      <c r="D82" s="110" t="s">
        <v>12</v>
      </c>
      <c r="E82" s="112">
        <v>1</v>
      </c>
      <c r="F82" s="112">
        <f>TRUNC(G99,2)</f>
        <v>3069.66</v>
      </c>
      <c r="G82" s="101">
        <f>TRUNC(F82*1.2338,2)</f>
        <v>3787.34</v>
      </c>
      <c r="H82" s="101">
        <f>TRUNC(F82*E82,2)</f>
        <v>3069.66</v>
      </c>
      <c r="I82" s="102">
        <f>TRUNC(E82*G82,2)</f>
        <v>3787.34</v>
      </c>
      <c r="J82" s="95">
        <v>3823.64</v>
      </c>
      <c r="K82" s="66"/>
    </row>
    <row r="83" spans="1:11" s="65" customFormat="1" ht="14.25">
      <c r="A83" s="59"/>
      <c r="B83" s="60" t="s">
        <v>468</v>
      </c>
      <c r="C83" s="67" t="s">
        <v>469</v>
      </c>
      <c r="D83" s="61" t="s">
        <v>3</v>
      </c>
      <c r="E83" s="62">
        <v>3.44</v>
      </c>
      <c r="F83" s="62">
        <f>TRUNC(9.96,2)</f>
        <v>9.96</v>
      </c>
      <c r="G83" s="63">
        <f aca="true" t="shared" si="2" ref="G83:G98">TRUNC(E83*F83,2)</f>
        <v>34.26</v>
      </c>
      <c r="H83" s="63"/>
      <c r="I83" s="64"/>
      <c r="J83" s="95"/>
      <c r="K83" s="66"/>
    </row>
    <row r="84" spans="1:11" s="65" customFormat="1" ht="14.25">
      <c r="A84" s="59"/>
      <c r="B84" s="60" t="s">
        <v>2</v>
      </c>
      <c r="C84" s="67" t="s">
        <v>382</v>
      </c>
      <c r="D84" s="61" t="s">
        <v>3</v>
      </c>
      <c r="E84" s="62">
        <v>25</v>
      </c>
      <c r="F84" s="62">
        <f>TRUNC(3.796,2)</f>
        <v>3.79</v>
      </c>
      <c r="G84" s="63">
        <f t="shared" si="2"/>
        <v>94.75</v>
      </c>
      <c r="H84" s="63"/>
      <c r="I84" s="64"/>
      <c r="J84" s="95"/>
      <c r="K84" s="66"/>
    </row>
    <row r="85" spans="1:11" s="65" customFormat="1" ht="28.5">
      <c r="A85" s="59"/>
      <c r="B85" s="60" t="s">
        <v>4</v>
      </c>
      <c r="C85" s="67" t="s">
        <v>71</v>
      </c>
      <c r="D85" s="61" t="s">
        <v>5</v>
      </c>
      <c r="E85" s="62">
        <v>1</v>
      </c>
      <c r="F85" s="62">
        <f>TRUNC(8.55,2)</f>
        <v>8.55</v>
      </c>
      <c r="G85" s="63">
        <f t="shared" si="2"/>
        <v>8.55</v>
      </c>
      <c r="H85" s="63"/>
      <c r="I85" s="64"/>
      <c r="J85" s="95"/>
      <c r="K85" s="66"/>
    </row>
    <row r="86" spans="1:11" s="65" customFormat="1" ht="14.25">
      <c r="A86" s="59"/>
      <c r="B86" s="60" t="s">
        <v>346</v>
      </c>
      <c r="C86" s="67" t="s">
        <v>347</v>
      </c>
      <c r="D86" s="61" t="s">
        <v>12</v>
      </c>
      <c r="E86" s="62">
        <v>30</v>
      </c>
      <c r="F86" s="62">
        <f>TRUNC(0.48,2)</f>
        <v>0.48</v>
      </c>
      <c r="G86" s="63">
        <f t="shared" si="2"/>
        <v>14.4</v>
      </c>
      <c r="H86" s="63"/>
      <c r="I86" s="64"/>
      <c r="J86" s="95"/>
      <c r="K86" s="66"/>
    </row>
    <row r="87" spans="1:11" s="65" customFormat="1" ht="14.25">
      <c r="A87" s="59"/>
      <c r="B87" s="60" t="s">
        <v>466</v>
      </c>
      <c r="C87" s="67" t="s">
        <v>467</v>
      </c>
      <c r="D87" s="61" t="s">
        <v>3</v>
      </c>
      <c r="E87" s="62">
        <v>30</v>
      </c>
      <c r="F87" s="62">
        <f>TRUNC(16.0989,2)</f>
        <v>16.09</v>
      </c>
      <c r="G87" s="63">
        <f t="shared" si="2"/>
        <v>482.7</v>
      </c>
      <c r="H87" s="63"/>
      <c r="I87" s="64"/>
      <c r="J87" s="95"/>
      <c r="K87" s="66"/>
    </row>
    <row r="88" spans="1:11" s="65" customFormat="1" ht="14.25">
      <c r="A88" s="59"/>
      <c r="B88" s="60" t="s">
        <v>470</v>
      </c>
      <c r="C88" s="67" t="s">
        <v>471</v>
      </c>
      <c r="D88" s="61" t="s">
        <v>12</v>
      </c>
      <c r="E88" s="62">
        <v>1</v>
      </c>
      <c r="F88" s="62">
        <f>TRUNC(240,2)</f>
        <v>240</v>
      </c>
      <c r="G88" s="63">
        <f t="shared" si="2"/>
        <v>240</v>
      </c>
      <c r="H88" s="63"/>
      <c r="I88" s="64"/>
      <c r="J88" s="95"/>
      <c r="K88" s="66"/>
    </row>
    <row r="89" spans="1:11" s="65" customFormat="1" ht="14.25">
      <c r="A89" s="59"/>
      <c r="B89" s="60" t="s">
        <v>462</v>
      </c>
      <c r="C89" s="67" t="s">
        <v>463</v>
      </c>
      <c r="D89" s="61" t="s">
        <v>12</v>
      </c>
      <c r="E89" s="62">
        <v>1</v>
      </c>
      <c r="F89" s="62">
        <f>TRUNC(10.4,2)</f>
        <v>10.4</v>
      </c>
      <c r="G89" s="63">
        <f t="shared" si="2"/>
        <v>10.4</v>
      </c>
      <c r="H89" s="63"/>
      <c r="I89" s="64"/>
      <c r="J89" s="95"/>
      <c r="K89" s="66"/>
    </row>
    <row r="90" spans="1:11" s="65" customFormat="1" ht="14.25">
      <c r="A90" s="59"/>
      <c r="B90" s="60" t="s">
        <v>464</v>
      </c>
      <c r="C90" s="67" t="s">
        <v>465</v>
      </c>
      <c r="D90" s="61" t="s">
        <v>12</v>
      </c>
      <c r="E90" s="62">
        <v>1</v>
      </c>
      <c r="F90" s="62">
        <f>TRUNC(23.4909,2)</f>
        <v>23.49</v>
      </c>
      <c r="G90" s="63">
        <f t="shared" si="2"/>
        <v>23.49</v>
      </c>
      <c r="H90" s="63"/>
      <c r="I90" s="64"/>
      <c r="J90" s="95"/>
      <c r="K90" s="66"/>
    </row>
    <row r="91" spans="1:11" s="65" customFormat="1" ht="14.25">
      <c r="A91" s="59"/>
      <c r="B91" s="60" t="s">
        <v>190</v>
      </c>
      <c r="C91" s="67" t="s">
        <v>191</v>
      </c>
      <c r="D91" s="61" t="s">
        <v>6</v>
      </c>
      <c r="E91" s="62">
        <v>8.24</v>
      </c>
      <c r="F91" s="62">
        <f>TRUNC(22.42,2)</f>
        <v>22.42</v>
      </c>
      <c r="G91" s="63">
        <f t="shared" si="2"/>
        <v>184.74</v>
      </c>
      <c r="H91" s="63"/>
      <c r="I91" s="64"/>
      <c r="J91" s="95"/>
      <c r="K91" s="66"/>
    </row>
    <row r="92" spans="1:11" s="65" customFormat="1" ht="14.25">
      <c r="A92" s="59"/>
      <c r="B92" s="60" t="s">
        <v>206</v>
      </c>
      <c r="C92" s="67" t="s">
        <v>207</v>
      </c>
      <c r="D92" s="61" t="s">
        <v>6</v>
      </c>
      <c r="E92" s="62">
        <v>8.24</v>
      </c>
      <c r="F92" s="62">
        <f>TRUNC(20.83,2)</f>
        <v>20.83</v>
      </c>
      <c r="G92" s="63">
        <f t="shared" si="2"/>
        <v>171.63</v>
      </c>
      <c r="H92" s="63"/>
      <c r="I92" s="64"/>
      <c r="J92" s="95"/>
      <c r="K92" s="66"/>
    </row>
    <row r="93" spans="1:11" s="65" customFormat="1" ht="28.5">
      <c r="A93" s="59"/>
      <c r="B93" s="60" t="s">
        <v>486</v>
      </c>
      <c r="C93" s="67" t="s">
        <v>487</v>
      </c>
      <c r="D93" s="61" t="s">
        <v>6</v>
      </c>
      <c r="E93" s="62">
        <v>11.33</v>
      </c>
      <c r="F93" s="62">
        <f>TRUNC(20.83,2)</f>
        <v>20.83</v>
      </c>
      <c r="G93" s="63">
        <f t="shared" si="2"/>
        <v>236</v>
      </c>
      <c r="H93" s="63"/>
      <c r="I93" s="64"/>
      <c r="J93" s="95"/>
      <c r="K93" s="66"/>
    </row>
    <row r="94" spans="1:11" s="65" customFormat="1" ht="14.25">
      <c r="A94" s="59"/>
      <c r="B94" s="60" t="s">
        <v>188</v>
      </c>
      <c r="C94" s="67" t="s">
        <v>189</v>
      </c>
      <c r="D94" s="61" t="s">
        <v>6</v>
      </c>
      <c r="E94" s="62">
        <v>8.24</v>
      </c>
      <c r="F94" s="62">
        <f>TRUNC(15.09,2)</f>
        <v>15.09</v>
      </c>
      <c r="G94" s="63">
        <f t="shared" si="2"/>
        <v>124.34</v>
      </c>
      <c r="H94" s="63"/>
      <c r="I94" s="64"/>
      <c r="J94" s="95"/>
      <c r="K94" s="66"/>
    </row>
    <row r="95" spans="1:11" s="65" customFormat="1" ht="28.5">
      <c r="A95" s="59"/>
      <c r="B95" s="60" t="s">
        <v>474</v>
      </c>
      <c r="C95" s="67" t="s">
        <v>475</v>
      </c>
      <c r="D95" s="61" t="s">
        <v>12</v>
      </c>
      <c r="E95" s="62">
        <v>1</v>
      </c>
      <c r="F95" s="62">
        <f>TRUNC(828.15,2)</f>
        <v>828.15</v>
      </c>
      <c r="G95" s="63">
        <f t="shared" si="2"/>
        <v>828.15</v>
      </c>
      <c r="H95" s="63"/>
      <c r="I95" s="64"/>
      <c r="J95" s="95"/>
      <c r="K95" s="66"/>
    </row>
    <row r="96" spans="1:11" s="65" customFormat="1" ht="14.25">
      <c r="A96" s="59"/>
      <c r="B96" s="60" t="s">
        <v>488</v>
      </c>
      <c r="C96" s="67" t="s">
        <v>489</v>
      </c>
      <c r="D96" s="61" t="s">
        <v>12</v>
      </c>
      <c r="E96" s="62">
        <v>1</v>
      </c>
      <c r="F96" s="62">
        <f>TRUNC(437.9953,2)</f>
        <v>437.99</v>
      </c>
      <c r="G96" s="63">
        <f t="shared" si="2"/>
        <v>437.99</v>
      </c>
      <c r="H96" s="63"/>
      <c r="I96" s="64"/>
      <c r="J96" s="95"/>
      <c r="K96" s="66"/>
    </row>
    <row r="97" spans="1:11" s="65" customFormat="1" ht="14.25">
      <c r="A97" s="59"/>
      <c r="B97" s="60" t="s">
        <v>407</v>
      </c>
      <c r="C97" s="67" t="s">
        <v>408</v>
      </c>
      <c r="D97" s="61" t="s">
        <v>1</v>
      </c>
      <c r="E97" s="62">
        <v>0.018</v>
      </c>
      <c r="F97" s="62">
        <f>TRUNC(272.453,2)</f>
        <v>272.45</v>
      </c>
      <c r="G97" s="63">
        <f t="shared" si="2"/>
        <v>4.9</v>
      </c>
      <c r="H97" s="63"/>
      <c r="I97" s="64"/>
      <c r="J97" s="95"/>
      <c r="K97" s="66"/>
    </row>
    <row r="98" spans="1:11" s="65" customFormat="1" ht="14.25">
      <c r="A98" s="59"/>
      <c r="B98" s="60" t="s">
        <v>196</v>
      </c>
      <c r="C98" s="67" t="s">
        <v>399</v>
      </c>
      <c r="D98" s="61" t="s">
        <v>0</v>
      </c>
      <c r="E98" s="62">
        <v>8</v>
      </c>
      <c r="F98" s="62">
        <f>TRUNC(21.6761,2)</f>
        <v>21.67</v>
      </c>
      <c r="G98" s="63">
        <f t="shared" si="2"/>
        <v>173.36</v>
      </c>
      <c r="H98" s="63"/>
      <c r="I98" s="64"/>
      <c r="J98" s="95"/>
      <c r="K98" s="66"/>
    </row>
    <row r="99" spans="1:11" s="65" customFormat="1" ht="14.25">
      <c r="A99" s="59"/>
      <c r="B99" s="60"/>
      <c r="C99" s="67"/>
      <c r="D99" s="61"/>
      <c r="E99" s="62" t="s">
        <v>7</v>
      </c>
      <c r="F99" s="62"/>
      <c r="G99" s="63">
        <f>TRUNC(SUM(G83:G98),2)</f>
        <v>3069.66</v>
      </c>
      <c r="H99" s="63"/>
      <c r="I99" s="64"/>
      <c r="J99" s="95"/>
      <c r="K99" s="66"/>
    </row>
    <row r="100" spans="1:11" s="65" customFormat="1" ht="42.75">
      <c r="A100" s="107" t="s">
        <v>482</v>
      </c>
      <c r="B100" s="108" t="s">
        <v>490</v>
      </c>
      <c r="C100" s="99" t="s">
        <v>381</v>
      </c>
      <c r="D100" s="110" t="s">
        <v>3</v>
      </c>
      <c r="E100" s="112">
        <v>60.4</v>
      </c>
      <c r="F100" s="112">
        <f>TRUNC(G109,2)</f>
        <v>17.9</v>
      </c>
      <c r="G100" s="101">
        <f>TRUNC(F100*1.2338,2)</f>
        <v>22.08</v>
      </c>
      <c r="H100" s="101">
        <f>TRUNC(F100*E100,2)</f>
        <v>1081.16</v>
      </c>
      <c r="I100" s="102">
        <f>TRUNC(E100*G100,2)</f>
        <v>1333.63</v>
      </c>
      <c r="J100" s="95">
        <v>1268.4</v>
      </c>
      <c r="K100" s="66"/>
    </row>
    <row r="101" spans="1:11" s="65" customFormat="1" ht="28.5">
      <c r="A101" s="59"/>
      <c r="B101" s="60" t="s">
        <v>4</v>
      </c>
      <c r="C101" s="67" t="s">
        <v>71</v>
      </c>
      <c r="D101" s="61" t="s">
        <v>5</v>
      </c>
      <c r="E101" s="62">
        <v>0.015</v>
      </c>
      <c r="F101" s="62">
        <f>TRUNC(8.55,2)</f>
        <v>8.55</v>
      </c>
      <c r="G101" s="63">
        <f aca="true" t="shared" si="3" ref="G101:G108">TRUNC(E101*F101,2)</f>
        <v>0.12</v>
      </c>
      <c r="H101" s="63"/>
      <c r="I101" s="64"/>
      <c r="J101" s="95"/>
      <c r="K101" s="66"/>
    </row>
    <row r="102" spans="1:11" s="65" customFormat="1" ht="14.25">
      <c r="A102" s="59"/>
      <c r="B102" s="60" t="s">
        <v>2</v>
      </c>
      <c r="C102" s="67" t="s">
        <v>382</v>
      </c>
      <c r="D102" s="61" t="s">
        <v>3</v>
      </c>
      <c r="E102" s="62">
        <v>0.45</v>
      </c>
      <c r="F102" s="62">
        <f>TRUNC(3.796,2)</f>
        <v>3.79</v>
      </c>
      <c r="G102" s="63">
        <f t="shared" si="3"/>
        <v>1.7</v>
      </c>
      <c r="H102" s="63"/>
      <c r="I102" s="64"/>
      <c r="J102" s="95"/>
      <c r="K102" s="66"/>
    </row>
    <row r="103" spans="1:11" s="65" customFormat="1" ht="14.25">
      <c r="A103" s="59"/>
      <c r="B103" s="60" t="s">
        <v>383</v>
      </c>
      <c r="C103" s="67" t="s">
        <v>384</v>
      </c>
      <c r="D103" s="61" t="s">
        <v>3</v>
      </c>
      <c r="E103" s="62">
        <v>0.45</v>
      </c>
      <c r="F103" s="62">
        <f>TRUNC(6.75,2)</f>
        <v>6.75</v>
      </c>
      <c r="G103" s="63">
        <f t="shared" si="3"/>
        <v>3.03</v>
      </c>
      <c r="H103" s="63"/>
      <c r="I103" s="64"/>
      <c r="J103" s="95"/>
      <c r="K103" s="66"/>
    </row>
    <row r="104" spans="1:11" s="65" customFormat="1" ht="14.25">
      <c r="A104" s="59"/>
      <c r="B104" s="60" t="s">
        <v>358</v>
      </c>
      <c r="C104" s="67" t="s">
        <v>359</v>
      </c>
      <c r="D104" s="61" t="s">
        <v>5</v>
      </c>
      <c r="E104" s="62">
        <v>0.025</v>
      </c>
      <c r="F104" s="62">
        <f>TRUNC(6.4,2)</f>
        <v>6.4</v>
      </c>
      <c r="G104" s="63">
        <f t="shared" si="3"/>
        <v>0.16</v>
      </c>
      <c r="H104" s="63"/>
      <c r="I104" s="64"/>
      <c r="J104" s="95"/>
      <c r="K104" s="66"/>
    </row>
    <row r="105" spans="1:11" s="65" customFormat="1" ht="14.25">
      <c r="A105" s="59"/>
      <c r="B105" s="60" t="s">
        <v>188</v>
      </c>
      <c r="C105" s="67" t="s">
        <v>189</v>
      </c>
      <c r="D105" s="61" t="s">
        <v>6</v>
      </c>
      <c r="E105" s="62">
        <v>0.36565</v>
      </c>
      <c r="F105" s="62">
        <f>TRUNC(15.09,2)</f>
        <v>15.09</v>
      </c>
      <c r="G105" s="63">
        <f t="shared" si="3"/>
        <v>5.51</v>
      </c>
      <c r="H105" s="63"/>
      <c r="I105" s="64"/>
      <c r="J105" s="95"/>
      <c r="K105" s="66"/>
    </row>
    <row r="106" spans="1:11" s="65" customFormat="1" ht="14.25">
      <c r="A106" s="59"/>
      <c r="B106" s="60" t="s">
        <v>228</v>
      </c>
      <c r="C106" s="67" t="s">
        <v>229</v>
      </c>
      <c r="D106" s="61" t="s">
        <v>6</v>
      </c>
      <c r="E106" s="62">
        <v>0.12875</v>
      </c>
      <c r="F106" s="62">
        <f>TRUNC(15.88,2)</f>
        <v>15.88</v>
      </c>
      <c r="G106" s="63">
        <f t="shared" si="3"/>
        <v>2.04</v>
      </c>
      <c r="H106" s="63"/>
      <c r="I106" s="64"/>
      <c r="J106" s="95"/>
      <c r="K106" s="66"/>
    </row>
    <row r="107" spans="1:11" s="65" customFormat="1" ht="14.25">
      <c r="A107" s="59"/>
      <c r="B107" s="60" t="s">
        <v>204</v>
      </c>
      <c r="C107" s="67" t="s">
        <v>205</v>
      </c>
      <c r="D107" s="61" t="s">
        <v>6</v>
      </c>
      <c r="E107" s="62">
        <v>0.11845000000000001</v>
      </c>
      <c r="F107" s="62">
        <f>TRUNC(20.83,2)</f>
        <v>20.83</v>
      </c>
      <c r="G107" s="63">
        <f t="shared" si="3"/>
        <v>2.46</v>
      </c>
      <c r="H107" s="63"/>
      <c r="I107" s="64"/>
      <c r="J107" s="95"/>
      <c r="K107" s="66"/>
    </row>
    <row r="108" spans="1:11" s="65" customFormat="1" ht="14.25">
      <c r="A108" s="59"/>
      <c r="B108" s="60" t="s">
        <v>491</v>
      </c>
      <c r="C108" s="67" t="s">
        <v>492</v>
      </c>
      <c r="D108" s="61" t="s">
        <v>6</v>
      </c>
      <c r="E108" s="62">
        <v>0.12875</v>
      </c>
      <c r="F108" s="62">
        <f>TRUNC(22.42,2)</f>
        <v>22.42</v>
      </c>
      <c r="G108" s="63">
        <f t="shared" si="3"/>
        <v>2.88</v>
      </c>
      <c r="H108" s="63"/>
      <c r="I108" s="64"/>
      <c r="J108" s="95"/>
      <c r="K108" s="66"/>
    </row>
    <row r="109" spans="1:11" s="65" customFormat="1" ht="14.25">
      <c r="A109" s="59"/>
      <c r="B109" s="60"/>
      <c r="C109" s="67"/>
      <c r="D109" s="61"/>
      <c r="E109" s="62" t="s">
        <v>7</v>
      </c>
      <c r="F109" s="62"/>
      <c r="G109" s="63">
        <f>TRUNC(SUM(G101:G108),2)</f>
        <v>17.9</v>
      </c>
      <c r="H109" s="63"/>
      <c r="I109" s="64"/>
      <c r="J109" s="95"/>
      <c r="K109" s="66"/>
    </row>
    <row r="110" spans="1:11" s="65" customFormat="1" ht="32.25" customHeight="1">
      <c r="A110" s="107" t="s">
        <v>483</v>
      </c>
      <c r="B110" s="108" t="s">
        <v>818</v>
      </c>
      <c r="C110" s="99" t="s">
        <v>924</v>
      </c>
      <c r="D110" s="110" t="s">
        <v>0</v>
      </c>
      <c r="E110" s="112">
        <v>111.8</v>
      </c>
      <c r="F110" s="112">
        <f>TRUNC(G113,2)</f>
        <v>16.23</v>
      </c>
      <c r="G110" s="101">
        <f>TRUNC(F110*1.2338,2)</f>
        <v>20.02</v>
      </c>
      <c r="H110" s="101">
        <f>TRUNC(F110*E110,2)</f>
        <v>1814.51</v>
      </c>
      <c r="I110" s="102">
        <f>TRUNC(E110*G110,2)</f>
        <v>2238.23</v>
      </c>
      <c r="J110" s="95">
        <v>2121.96</v>
      </c>
      <c r="K110" s="66"/>
    </row>
    <row r="111" spans="1:11" s="65" customFormat="1" ht="14.25">
      <c r="A111" s="59"/>
      <c r="B111" s="60" t="s">
        <v>817</v>
      </c>
      <c r="C111" s="67" t="s">
        <v>127</v>
      </c>
      <c r="D111" s="61" t="s">
        <v>6</v>
      </c>
      <c r="E111" s="62">
        <v>0.1582</v>
      </c>
      <c r="F111" s="62">
        <f>TRUNC(21.86,2)</f>
        <v>21.86</v>
      </c>
      <c r="G111" s="63">
        <f>TRUNC(E111*F111,2)</f>
        <v>3.45</v>
      </c>
      <c r="H111" s="63"/>
      <c r="I111" s="64"/>
      <c r="J111" s="95"/>
      <c r="K111" s="66"/>
    </row>
    <row r="112" spans="1:11" s="65" customFormat="1" ht="14.25">
      <c r="A112" s="59"/>
      <c r="B112" s="60" t="s">
        <v>819</v>
      </c>
      <c r="C112" s="67" t="s">
        <v>527</v>
      </c>
      <c r="D112" s="61" t="s">
        <v>6</v>
      </c>
      <c r="E112" s="62">
        <v>0.4591</v>
      </c>
      <c r="F112" s="62">
        <f>TRUNC(27.84,2)</f>
        <v>27.84</v>
      </c>
      <c r="G112" s="63">
        <f>TRUNC(E112*F112,2)</f>
        <v>12.78</v>
      </c>
      <c r="H112" s="63"/>
      <c r="I112" s="64"/>
      <c r="J112" s="95"/>
      <c r="K112" s="66"/>
    </row>
    <row r="113" spans="1:11" s="65" customFormat="1" ht="14.25">
      <c r="A113" s="59"/>
      <c r="B113" s="60"/>
      <c r="C113" s="67"/>
      <c r="D113" s="61"/>
      <c r="E113" s="62" t="s">
        <v>7</v>
      </c>
      <c r="F113" s="62"/>
      <c r="G113" s="63">
        <f>TRUNC(SUM(G111:G112),2)</f>
        <v>16.23</v>
      </c>
      <c r="H113" s="63"/>
      <c r="I113" s="64"/>
      <c r="J113" s="95"/>
      <c r="K113" s="66"/>
    </row>
    <row r="114" spans="1:11" s="65" customFormat="1" ht="32.25" customHeight="1">
      <c r="A114" s="107" t="s">
        <v>484</v>
      </c>
      <c r="B114" s="108" t="s">
        <v>818</v>
      </c>
      <c r="C114" s="99" t="s">
        <v>925</v>
      </c>
      <c r="D114" s="110" t="s">
        <v>0</v>
      </c>
      <c r="E114" s="112">
        <v>47.65</v>
      </c>
      <c r="F114" s="112">
        <f>TRUNC(G117,2)</f>
        <v>16.23</v>
      </c>
      <c r="G114" s="101">
        <f>TRUNC(F114*1.2338,2)</f>
        <v>20.02</v>
      </c>
      <c r="H114" s="101">
        <f>TRUNC(F114*E114,2)</f>
        <v>773.35</v>
      </c>
      <c r="I114" s="102">
        <f>TRUNC(E114*G114,2)</f>
        <v>953.95</v>
      </c>
      <c r="J114" s="95">
        <v>904.39</v>
      </c>
      <c r="K114" s="66"/>
    </row>
    <row r="115" spans="1:11" s="65" customFormat="1" ht="14.25">
      <c r="A115" s="59"/>
      <c r="B115" s="60" t="s">
        <v>817</v>
      </c>
      <c r="C115" s="67" t="s">
        <v>127</v>
      </c>
      <c r="D115" s="61" t="s">
        <v>6</v>
      </c>
      <c r="E115" s="62">
        <v>0.1582</v>
      </c>
      <c r="F115" s="62">
        <f>TRUNC(21.86,2)</f>
        <v>21.86</v>
      </c>
      <c r="G115" s="63">
        <f>TRUNC(E115*F115,2)</f>
        <v>3.45</v>
      </c>
      <c r="H115" s="63"/>
      <c r="I115" s="64"/>
      <c r="J115" s="95"/>
      <c r="K115" s="66"/>
    </row>
    <row r="116" spans="1:11" s="65" customFormat="1" ht="14.25">
      <c r="A116" s="59"/>
      <c r="B116" s="60" t="s">
        <v>819</v>
      </c>
      <c r="C116" s="67" t="s">
        <v>527</v>
      </c>
      <c r="D116" s="61" t="s">
        <v>6</v>
      </c>
      <c r="E116" s="62">
        <v>0.4591</v>
      </c>
      <c r="F116" s="62">
        <f>TRUNC(27.84,2)</f>
        <v>27.84</v>
      </c>
      <c r="G116" s="63">
        <f>TRUNC(E116*F116,2)</f>
        <v>12.78</v>
      </c>
      <c r="H116" s="63"/>
      <c r="I116" s="64"/>
      <c r="J116" s="95"/>
      <c r="K116" s="66"/>
    </row>
    <row r="117" spans="1:11" s="65" customFormat="1" ht="14.25">
      <c r="A117" s="59"/>
      <c r="B117" s="60"/>
      <c r="C117" s="67"/>
      <c r="D117" s="61"/>
      <c r="E117" s="62" t="s">
        <v>7</v>
      </c>
      <c r="F117" s="62"/>
      <c r="G117" s="63">
        <f>TRUNC(SUM(G115:G116),2)</f>
        <v>16.23</v>
      </c>
      <c r="H117" s="63"/>
      <c r="I117" s="64"/>
      <c r="J117" s="95"/>
      <c r="K117" s="66"/>
    </row>
    <row r="118" spans="1:11" s="65" customFormat="1" ht="43.5">
      <c r="A118" s="107" t="s">
        <v>536</v>
      </c>
      <c r="B118" s="108" t="s">
        <v>533</v>
      </c>
      <c r="C118" s="99" t="s">
        <v>926</v>
      </c>
      <c r="D118" s="110" t="s">
        <v>3</v>
      </c>
      <c r="E118" s="112">
        <v>104.06</v>
      </c>
      <c r="F118" s="112">
        <f>TRUNC(G120,2)</f>
        <v>17.09</v>
      </c>
      <c r="G118" s="101">
        <f>TRUNC(F118*1.2338,2)</f>
        <v>21.08</v>
      </c>
      <c r="H118" s="101">
        <f>TRUNC(F118*E118,2)</f>
        <v>1778.38</v>
      </c>
      <c r="I118" s="102">
        <f>TRUNC(E118*G118,2)</f>
        <v>2193.58</v>
      </c>
      <c r="J118" s="95">
        <v>1998.99</v>
      </c>
      <c r="K118" s="66"/>
    </row>
    <row r="119" spans="1:11" s="65" customFormat="1" ht="14.25">
      <c r="A119" s="59"/>
      <c r="B119" s="60" t="s">
        <v>188</v>
      </c>
      <c r="C119" s="67" t="s">
        <v>189</v>
      </c>
      <c r="D119" s="61" t="s">
        <v>6</v>
      </c>
      <c r="E119" s="62">
        <v>1.1330000000000002</v>
      </c>
      <c r="F119" s="62">
        <f>TRUNC(15.09,2)</f>
        <v>15.09</v>
      </c>
      <c r="G119" s="63">
        <f>TRUNC(E119*F119,2)</f>
        <v>17.09</v>
      </c>
      <c r="H119" s="63"/>
      <c r="I119" s="64"/>
      <c r="J119" s="95"/>
      <c r="K119" s="66"/>
    </row>
    <row r="120" spans="1:11" s="65" customFormat="1" ht="14.25">
      <c r="A120" s="59"/>
      <c r="B120" s="60"/>
      <c r="C120" s="67"/>
      <c r="D120" s="61"/>
      <c r="E120" s="62" t="s">
        <v>7</v>
      </c>
      <c r="F120" s="62"/>
      <c r="G120" s="63">
        <f>TRUNC(SUM(G119:G119),2)</f>
        <v>17.09</v>
      </c>
      <c r="H120" s="63"/>
      <c r="I120" s="64"/>
      <c r="J120" s="95"/>
      <c r="K120" s="66"/>
    </row>
    <row r="121" spans="1:11" s="65" customFormat="1" ht="43.5">
      <c r="A121" s="107" t="s">
        <v>635</v>
      </c>
      <c r="B121" s="108" t="s">
        <v>533</v>
      </c>
      <c r="C121" s="99" t="s">
        <v>927</v>
      </c>
      <c r="D121" s="110" t="s">
        <v>3</v>
      </c>
      <c r="E121" s="112">
        <v>34.25</v>
      </c>
      <c r="F121" s="112">
        <f>TRUNC(G123,2)</f>
        <v>17.09</v>
      </c>
      <c r="G121" s="101">
        <f>TRUNC(F121*1.2338,2)</f>
        <v>21.08</v>
      </c>
      <c r="H121" s="101">
        <f>TRUNC(F121*E121,2)</f>
        <v>585.33</v>
      </c>
      <c r="I121" s="102">
        <f>TRUNC(E121*G121,2)</f>
        <v>721.99</v>
      </c>
      <c r="J121" s="95">
        <v>657.94</v>
      </c>
      <c r="K121" s="66"/>
    </row>
    <row r="122" spans="1:11" s="65" customFormat="1" ht="14.25">
      <c r="A122" s="59"/>
      <c r="B122" s="60" t="s">
        <v>188</v>
      </c>
      <c r="C122" s="67" t="s">
        <v>189</v>
      </c>
      <c r="D122" s="61" t="s">
        <v>6</v>
      </c>
      <c r="E122" s="62">
        <v>1.1330000000000002</v>
      </c>
      <c r="F122" s="62">
        <f>TRUNC(15.09,2)</f>
        <v>15.09</v>
      </c>
      <c r="G122" s="63">
        <f>TRUNC(E122*F122,2)</f>
        <v>17.09</v>
      </c>
      <c r="H122" s="63"/>
      <c r="I122" s="64"/>
      <c r="J122" s="95"/>
      <c r="K122" s="66"/>
    </row>
    <row r="123" spans="1:11" s="65" customFormat="1" ht="14.25">
      <c r="A123" s="59"/>
      <c r="B123" s="60"/>
      <c r="C123" s="67"/>
      <c r="D123" s="61"/>
      <c r="E123" s="62" t="s">
        <v>7</v>
      </c>
      <c r="F123" s="62"/>
      <c r="G123" s="63">
        <f>TRUNC(SUM(G122:G122),2)</f>
        <v>17.09</v>
      </c>
      <c r="H123" s="63"/>
      <c r="I123" s="64"/>
      <c r="J123" s="95"/>
      <c r="K123" s="66"/>
    </row>
    <row r="124" spans="1:11" s="65" customFormat="1" ht="42.75">
      <c r="A124" s="107" t="s">
        <v>636</v>
      </c>
      <c r="B124" s="108" t="s">
        <v>539</v>
      </c>
      <c r="C124" s="99" t="s">
        <v>538</v>
      </c>
      <c r="D124" s="110" t="s">
        <v>12</v>
      </c>
      <c r="E124" s="112">
        <v>4</v>
      </c>
      <c r="F124" s="112">
        <f>TRUNC(G126,2)</f>
        <v>155.68</v>
      </c>
      <c r="G124" s="101">
        <f>TRUNC(F124*1.2338,2)</f>
        <v>192.07</v>
      </c>
      <c r="H124" s="101">
        <f>TRUNC(F124*E124,2)</f>
        <v>622.72</v>
      </c>
      <c r="I124" s="102">
        <f>TRUNC(E124*G124,2)</f>
        <v>768.28</v>
      </c>
      <c r="J124" s="95">
        <v>700.2</v>
      </c>
      <c r="K124" s="66"/>
    </row>
    <row r="125" spans="1:11" s="65" customFormat="1" ht="28.5">
      <c r="A125" s="59"/>
      <c r="B125" s="60" t="s">
        <v>528</v>
      </c>
      <c r="C125" s="67" t="s">
        <v>529</v>
      </c>
      <c r="D125" s="61" t="s">
        <v>6</v>
      </c>
      <c r="E125" s="62">
        <v>12.5145</v>
      </c>
      <c r="F125" s="62">
        <f>TRUNC(12.44,2)</f>
        <v>12.44</v>
      </c>
      <c r="G125" s="63">
        <f>TRUNC(E125*F125,2)</f>
        <v>155.68</v>
      </c>
      <c r="H125" s="63"/>
      <c r="I125" s="64"/>
      <c r="J125" s="95"/>
      <c r="K125" s="66"/>
    </row>
    <row r="126" spans="1:11" s="65" customFormat="1" ht="14.25">
      <c r="A126" s="59"/>
      <c r="B126" s="60"/>
      <c r="C126" s="67"/>
      <c r="D126" s="61"/>
      <c r="E126" s="62" t="s">
        <v>7</v>
      </c>
      <c r="F126" s="62"/>
      <c r="G126" s="63">
        <f>TRUNC(SUM(G125:G125),2)</f>
        <v>155.68</v>
      </c>
      <c r="H126" s="63"/>
      <c r="I126" s="64"/>
      <c r="J126" s="95"/>
      <c r="K126" s="66"/>
    </row>
    <row r="127" spans="1:11" s="65" customFormat="1" ht="29.25">
      <c r="A127" s="107" t="s">
        <v>889</v>
      </c>
      <c r="B127" s="108" t="s">
        <v>890</v>
      </c>
      <c r="C127" s="99" t="s">
        <v>893</v>
      </c>
      <c r="D127" s="110" t="s">
        <v>1</v>
      </c>
      <c r="E127" s="112">
        <v>1.7</v>
      </c>
      <c r="F127" s="112">
        <f>TRUNC(G130,2)</f>
        <v>212.25</v>
      </c>
      <c r="G127" s="101">
        <f>TRUNC(F127*1.2338,2)</f>
        <v>261.87</v>
      </c>
      <c r="H127" s="101">
        <f>TRUNC(F127*E127,2)</f>
        <v>360.82</v>
      </c>
      <c r="I127" s="102">
        <f>TRUNC(E127*G127,2)</f>
        <v>445.17</v>
      </c>
      <c r="J127" s="95"/>
      <c r="K127" s="66"/>
    </row>
    <row r="128" spans="1:11" s="65" customFormat="1" ht="14.25">
      <c r="A128" s="59"/>
      <c r="B128" s="60" t="s">
        <v>188</v>
      </c>
      <c r="C128" s="67" t="s">
        <v>189</v>
      </c>
      <c r="D128" s="61" t="s">
        <v>6</v>
      </c>
      <c r="E128" s="62">
        <v>12.36</v>
      </c>
      <c r="F128" s="62">
        <f>TRUNC(15.09,2)</f>
        <v>15.09</v>
      </c>
      <c r="G128" s="63">
        <f>TRUNC(E128*F128,2)</f>
        <v>186.51</v>
      </c>
      <c r="H128" s="63"/>
      <c r="I128" s="64"/>
      <c r="J128" s="95"/>
      <c r="K128" s="66"/>
    </row>
    <row r="129" spans="1:11" s="65" customFormat="1" ht="14.25">
      <c r="A129" s="59"/>
      <c r="B129" s="60" t="s">
        <v>206</v>
      </c>
      <c r="C129" s="67" t="s">
        <v>207</v>
      </c>
      <c r="D129" s="61" t="s">
        <v>6</v>
      </c>
      <c r="E129" s="62">
        <v>1.236</v>
      </c>
      <c r="F129" s="62">
        <f>TRUNC(20.83,2)</f>
        <v>20.83</v>
      </c>
      <c r="G129" s="63">
        <f>TRUNC(E129*F129,2)</f>
        <v>25.74</v>
      </c>
      <c r="H129" s="63"/>
      <c r="I129" s="64"/>
      <c r="J129" s="95"/>
      <c r="K129" s="66"/>
    </row>
    <row r="130" spans="1:11" s="65" customFormat="1" ht="14.25">
      <c r="A130" s="59"/>
      <c r="B130" s="60"/>
      <c r="C130" s="67"/>
      <c r="D130" s="61"/>
      <c r="E130" s="62" t="s">
        <v>7</v>
      </c>
      <c r="F130" s="62"/>
      <c r="G130" s="63">
        <f>TRUNC(SUM(G128:G129),2)</f>
        <v>212.25</v>
      </c>
      <c r="H130" s="63"/>
      <c r="I130" s="64"/>
      <c r="J130" s="95"/>
      <c r="K130" s="66"/>
    </row>
    <row r="131" spans="1:11" s="65" customFormat="1" ht="29.25">
      <c r="A131" s="107" t="s">
        <v>892</v>
      </c>
      <c r="B131" s="108" t="s">
        <v>891</v>
      </c>
      <c r="C131" s="99" t="s">
        <v>895</v>
      </c>
      <c r="D131" s="110" t="s">
        <v>3</v>
      </c>
      <c r="E131" s="112">
        <v>1.8</v>
      </c>
      <c r="F131" s="112">
        <f>TRUNC(G133,2)</f>
        <v>17.87</v>
      </c>
      <c r="G131" s="101">
        <f>TRUNC(F131*1.2338,2)</f>
        <v>22.04</v>
      </c>
      <c r="H131" s="101">
        <f>TRUNC(F131*E131,2)</f>
        <v>32.16</v>
      </c>
      <c r="I131" s="102">
        <f>TRUNC(E131*G131,2)</f>
        <v>39.67</v>
      </c>
      <c r="J131" s="95"/>
      <c r="K131" s="66"/>
    </row>
    <row r="132" spans="1:11" s="65" customFormat="1" ht="14.25">
      <c r="A132" s="59"/>
      <c r="B132" s="60" t="s">
        <v>188</v>
      </c>
      <c r="C132" s="67" t="s">
        <v>189</v>
      </c>
      <c r="D132" s="61" t="s">
        <v>6</v>
      </c>
      <c r="E132" s="62">
        <v>1.1844999999999999</v>
      </c>
      <c r="F132" s="62">
        <f>TRUNC(15.09,2)</f>
        <v>15.09</v>
      </c>
      <c r="G132" s="63">
        <f>TRUNC(E132*F132,2)</f>
        <v>17.87</v>
      </c>
      <c r="H132" s="63"/>
      <c r="I132" s="64"/>
      <c r="J132" s="95"/>
      <c r="K132" s="66"/>
    </row>
    <row r="133" spans="1:11" s="65" customFormat="1" ht="14.25">
      <c r="A133" s="59"/>
      <c r="B133" s="60"/>
      <c r="C133" s="67"/>
      <c r="D133" s="61"/>
      <c r="E133" s="62" t="s">
        <v>7</v>
      </c>
      <c r="F133" s="62"/>
      <c r="G133" s="63">
        <f>TRUNC(SUM(G132:G132),2)</f>
        <v>17.87</v>
      </c>
      <c r="H133" s="63"/>
      <c r="I133" s="64"/>
      <c r="J133" s="95"/>
      <c r="K133" s="66"/>
    </row>
    <row r="134" spans="1:10" s="117" customFormat="1" ht="15.75">
      <c r="A134" s="85" t="s">
        <v>53</v>
      </c>
      <c r="B134" s="86"/>
      <c r="C134" s="87"/>
      <c r="D134" s="86"/>
      <c r="E134" s="86"/>
      <c r="F134" s="86"/>
      <c r="G134" s="86" t="s">
        <v>57</v>
      </c>
      <c r="H134" s="88">
        <f>H27+H20+H13+H46+H51+H54+H100+H61+H82+H110+H118+H124+H114+H121+H127+H131</f>
        <v>26012.09</v>
      </c>
      <c r="I134" s="88">
        <f>I27+I20+I13+I46+I51+I54+I100+I61+I82+I110+I118+I124+I114+I121+I127+I131</f>
        <v>32088.07</v>
      </c>
      <c r="J134" s="116">
        <v>30577.989999999998</v>
      </c>
    </row>
    <row r="135" spans="1:10" s="118" customFormat="1" ht="15.75">
      <c r="A135" s="118" t="s">
        <v>20</v>
      </c>
      <c r="B135" s="119"/>
      <c r="C135" s="120" t="s">
        <v>371</v>
      </c>
      <c r="D135" s="120"/>
      <c r="E135" s="120"/>
      <c r="F135" s="120"/>
      <c r="G135" s="120"/>
      <c r="H135" s="120"/>
      <c r="I135" s="121"/>
      <c r="J135" s="122"/>
    </row>
    <row r="136" spans="1:10" s="99" customFormat="1" ht="85.5">
      <c r="A136" s="99" t="s">
        <v>54</v>
      </c>
      <c r="B136" s="99" t="s">
        <v>820</v>
      </c>
      <c r="C136" s="99" t="s">
        <v>400</v>
      </c>
      <c r="D136" s="101" t="s">
        <v>0</v>
      </c>
      <c r="E136" s="101">
        <v>212.01</v>
      </c>
      <c r="F136" s="101">
        <f>TRUNC(G151,2)</f>
        <v>86.84</v>
      </c>
      <c r="G136" s="101">
        <f>TRUNC(F136*1.2338,2)</f>
        <v>107.14</v>
      </c>
      <c r="H136" s="101">
        <f>TRUNC(F136*E136,2)</f>
        <v>18410.94</v>
      </c>
      <c r="I136" s="102">
        <f>TRUNC(E136*G136,2)</f>
        <v>22714.75</v>
      </c>
      <c r="J136" s="114">
        <v>22540.9</v>
      </c>
    </row>
    <row r="137" spans="2:10" s="67" customFormat="1" ht="14.25">
      <c r="B137" s="67" t="s">
        <v>152</v>
      </c>
      <c r="C137" s="67" t="s">
        <v>113</v>
      </c>
      <c r="D137" s="63" t="s">
        <v>48</v>
      </c>
      <c r="E137" s="63">
        <v>0.0725</v>
      </c>
      <c r="F137" s="63">
        <f>TRUNC(51.01,2)</f>
        <v>51.01</v>
      </c>
      <c r="G137" s="63">
        <f aca="true" t="shared" si="4" ref="G137:G150">TRUNC(E137*F137,2)</f>
        <v>3.69</v>
      </c>
      <c r="H137" s="63"/>
      <c r="I137" s="64"/>
      <c r="J137" s="97"/>
    </row>
    <row r="138" spans="2:10" s="67" customFormat="1" ht="28.5">
      <c r="B138" s="67" t="s">
        <v>153</v>
      </c>
      <c r="C138" s="67" t="s">
        <v>154</v>
      </c>
      <c r="D138" s="63" t="s">
        <v>5</v>
      </c>
      <c r="E138" s="63">
        <v>3.25</v>
      </c>
      <c r="F138" s="63">
        <f>TRUNC(3.6639,2)</f>
        <v>3.66</v>
      </c>
      <c r="G138" s="63">
        <f t="shared" si="4"/>
        <v>11.89</v>
      </c>
      <c r="H138" s="63"/>
      <c r="I138" s="64"/>
      <c r="J138" s="97"/>
    </row>
    <row r="139" spans="2:10" s="67" customFormat="1" ht="14.25">
      <c r="B139" s="67" t="s">
        <v>155</v>
      </c>
      <c r="C139" s="67" t="s">
        <v>156</v>
      </c>
      <c r="D139" s="63" t="s">
        <v>0</v>
      </c>
      <c r="E139" s="63">
        <v>1.2</v>
      </c>
      <c r="F139" s="63">
        <f>TRUNC(0.75,2)</f>
        <v>0.75</v>
      </c>
      <c r="G139" s="63">
        <f t="shared" si="4"/>
        <v>0.9</v>
      </c>
      <c r="H139" s="63"/>
      <c r="I139" s="64"/>
      <c r="J139" s="97"/>
    </row>
    <row r="140" spans="2:10" s="76" customFormat="1" ht="15">
      <c r="B140" s="80" t="s">
        <v>240</v>
      </c>
      <c r="C140" s="76" t="s">
        <v>241</v>
      </c>
      <c r="D140" s="77" t="s">
        <v>1</v>
      </c>
      <c r="E140" s="77">
        <v>0.105</v>
      </c>
      <c r="F140" s="77">
        <v>316.4933</v>
      </c>
      <c r="G140" s="77">
        <f t="shared" si="4"/>
        <v>33.23</v>
      </c>
      <c r="H140" s="77"/>
      <c r="I140" s="78"/>
      <c r="J140" s="98"/>
    </row>
    <row r="141" spans="2:10" s="67" customFormat="1" ht="14.25">
      <c r="B141" s="67" t="s">
        <v>188</v>
      </c>
      <c r="C141" s="67" t="s">
        <v>189</v>
      </c>
      <c r="D141" s="63" t="s">
        <v>6</v>
      </c>
      <c r="E141" s="63">
        <v>1.15875</v>
      </c>
      <c r="F141" s="63">
        <f>TRUNC(15.09,2)</f>
        <v>15.09</v>
      </c>
      <c r="G141" s="63">
        <f t="shared" si="4"/>
        <v>17.48</v>
      </c>
      <c r="H141" s="63"/>
      <c r="I141" s="64"/>
      <c r="J141" s="97"/>
    </row>
    <row r="142" spans="2:10" s="67" customFormat="1" ht="14.25">
      <c r="B142" s="67" t="s">
        <v>202</v>
      </c>
      <c r="C142" s="67" t="s">
        <v>203</v>
      </c>
      <c r="D142" s="63" t="s">
        <v>6</v>
      </c>
      <c r="E142" s="63">
        <v>0.1648</v>
      </c>
      <c r="F142" s="63">
        <f>TRUNC(20.83,2)</f>
        <v>20.83</v>
      </c>
      <c r="G142" s="63">
        <f t="shared" si="4"/>
        <v>3.43</v>
      </c>
      <c r="H142" s="63"/>
      <c r="I142" s="64"/>
      <c r="J142" s="97"/>
    </row>
    <row r="143" spans="2:10" s="67" customFormat="1" ht="14.25">
      <c r="B143" s="67" t="s">
        <v>204</v>
      </c>
      <c r="C143" s="67" t="s">
        <v>205</v>
      </c>
      <c r="D143" s="63" t="s">
        <v>6</v>
      </c>
      <c r="E143" s="63">
        <v>0.0927</v>
      </c>
      <c r="F143" s="63">
        <f>TRUNC(20.83,2)</f>
        <v>20.83</v>
      </c>
      <c r="G143" s="63">
        <f t="shared" si="4"/>
        <v>1.93</v>
      </c>
      <c r="H143" s="63"/>
      <c r="I143" s="64"/>
      <c r="J143" s="97"/>
    </row>
    <row r="144" spans="2:10" s="67" customFormat="1" ht="14.25">
      <c r="B144" s="67" t="s">
        <v>206</v>
      </c>
      <c r="C144" s="67" t="s">
        <v>207</v>
      </c>
      <c r="D144" s="63" t="s">
        <v>6</v>
      </c>
      <c r="E144" s="63">
        <v>0.6695000000000001</v>
      </c>
      <c r="F144" s="63">
        <f>TRUNC(20.83,2)</f>
        <v>20.83</v>
      </c>
      <c r="G144" s="63">
        <f t="shared" si="4"/>
        <v>13.94</v>
      </c>
      <c r="H144" s="63"/>
      <c r="I144" s="64"/>
      <c r="J144" s="97"/>
    </row>
    <row r="145" spans="2:10" s="67" customFormat="1" ht="14.25">
      <c r="B145" s="67" t="s">
        <v>208</v>
      </c>
      <c r="C145" s="67" t="s">
        <v>209</v>
      </c>
      <c r="D145" s="63" t="s">
        <v>6</v>
      </c>
      <c r="E145" s="63">
        <v>0.0292</v>
      </c>
      <c r="F145" s="63">
        <f>TRUNC(1.3478,2)</f>
        <v>1.34</v>
      </c>
      <c r="G145" s="63">
        <f t="shared" si="4"/>
        <v>0.03</v>
      </c>
      <c r="H145" s="63"/>
      <c r="I145" s="64"/>
      <c r="J145" s="97"/>
    </row>
    <row r="146" spans="2:10" s="67" customFormat="1" ht="14.25">
      <c r="B146" s="67" t="s">
        <v>210</v>
      </c>
      <c r="C146" s="67" t="s">
        <v>211</v>
      </c>
      <c r="D146" s="63" t="s">
        <v>6</v>
      </c>
      <c r="E146" s="63">
        <v>0.0125</v>
      </c>
      <c r="F146" s="63">
        <f>TRUNC(6.618,2)</f>
        <v>6.61</v>
      </c>
      <c r="G146" s="63">
        <f t="shared" si="4"/>
        <v>0.08</v>
      </c>
      <c r="H146" s="63"/>
      <c r="I146" s="64"/>
      <c r="J146" s="97"/>
    </row>
    <row r="147" spans="2:10" s="67" customFormat="1" ht="14.25">
      <c r="B147" s="67" t="s">
        <v>212</v>
      </c>
      <c r="C147" s="67" t="s">
        <v>213</v>
      </c>
      <c r="D147" s="63" t="s">
        <v>6</v>
      </c>
      <c r="E147" s="63">
        <v>0.0438</v>
      </c>
      <c r="F147" s="63">
        <f>TRUNC(0.9648,2)</f>
        <v>0.96</v>
      </c>
      <c r="G147" s="63">
        <f t="shared" si="4"/>
        <v>0.04</v>
      </c>
      <c r="H147" s="63"/>
      <c r="I147" s="64"/>
      <c r="J147" s="97"/>
    </row>
    <row r="148" spans="2:10" s="67" customFormat="1" ht="14.25">
      <c r="B148" s="67" t="s">
        <v>214</v>
      </c>
      <c r="C148" s="67" t="s">
        <v>215</v>
      </c>
      <c r="D148" s="63" t="s">
        <v>6</v>
      </c>
      <c r="E148" s="63">
        <v>0.0188</v>
      </c>
      <c r="F148" s="63">
        <f>TRUNC(8.6401,2)</f>
        <v>8.64</v>
      </c>
      <c r="G148" s="63">
        <f t="shared" si="4"/>
        <v>0.16</v>
      </c>
      <c r="H148" s="63"/>
      <c r="I148" s="64"/>
      <c r="J148" s="97"/>
    </row>
    <row r="149" spans="2:10" s="67" customFormat="1" ht="14.25">
      <c r="B149" s="67" t="s">
        <v>216</v>
      </c>
      <c r="C149" s="67" t="s">
        <v>217</v>
      </c>
      <c r="D149" s="63" t="s">
        <v>6</v>
      </c>
      <c r="E149" s="63">
        <v>0.036</v>
      </c>
      <c r="F149" s="63">
        <f>TRUNC(0.2441,2)</f>
        <v>0.24</v>
      </c>
      <c r="G149" s="63">
        <f t="shared" si="4"/>
        <v>0</v>
      </c>
      <c r="H149" s="63"/>
      <c r="I149" s="64"/>
      <c r="J149" s="97"/>
    </row>
    <row r="150" spans="2:10" s="67" customFormat="1" ht="14.25">
      <c r="B150" s="67" t="s">
        <v>218</v>
      </c>
      <c r="C150" s="67" t="s">
        <v>219</v>
      </c>
      <c r="D150" s="63" t="s">
        <v>6</v>
      </c>
      <c r="E150" s="63">
        <v>0.036</v>
      </c>
      <c r="F150" s="63">
        <f>TRUNC(1.1704,2)</f>
        <v>1.17</v>
      </c>
      <c r="G150" s="63">
        <f t="shared" si="4"/>
        <v>0.04</v>
      </c>
      <c r="H150" s="63"/>
      <c r="I150" s="64"/>
      <c r="J150" s="97"/>
    </row>
    <row r="151" spans="4:10" s="67" customFormat="1" ht="14.25">
      <c r="D151" s="63"/>
      <c r="E151" s="63" t="s">
        <v>7</v>
      </c>
      <c r="F151" s="63"/>
      <c r="G151" s="63">
        <f>TRUNC(SUM(G137:G150),2)</f>
        <v>86.84</v>
      </c>
      <c r="H151" s="63"/>
      <c r="I151" s="64"/>
      <c r="J151" s="97"/>
    </row>
    <row r="152" spans="1:10" s="99" customFormat="1" ht="57">
      <c r="A152" s="99" t="s">
        <v>375</v>
      </c>
      <c r="B152" s="99" t="s">
        <v>401</v>
      </c>
      <c r="C152" s="99" t="s">
        <v>343</v>
      </c>
      <c r="D152" s="99" t="s">
        <v>0</v>
      </c>
      <c r="E152" s="99">
        <v>1.5</v>
      </c>
      <c r="F152" s="100">
        <f>TRUNC(G158,2)</f>
        <v>76.29</v>
      </c>
      <c r="G152" s="101">
        <f>TRUNC(F152*1.2338,2)</f>
        <v>94.12</v>
      </c>
      <c r="H152" s="101">
        <f>TRUNC(F152*E152,2)</f>
        <v>114.43</v>
      </c>
      <c r="I152" s="102">
        <f>TRUNC(E152*G152,2)</f>
        <v>141.18</v>
      </c>
      <c r="J152" s="114">
        <v>136.35</v>
      </c>
    </row>
    <row r="153" spans="2:10" s="67" customFormat="1" ht="14.25">
      <c r="B153" s="67" t="s">
        <v>344</v>
      </c>
      <c r="C153" s="67" t="s">
        <v>345</v>
      </c>
      <c r="D153" s="67" t="s">
        <v>12</v>
      </c>
      <c r="E153" s="67">
        <v>31</v>
      </c>
      <c r="F153" s="68">
        <f>TRUNC(0.72,2)</f>
        <v>0.72</v>
      </c>
      <c r="G153" s="63">
        <f>TRUNC(E153*F153,2)</f>
        <v>22.32</v>
      </c>
      <c r="H153" s="63"/>
      <c r="I153" s="64"/>
      <c r="J153" s="97"/>
    </row>
    <row r="154" spans="2:10" s="67" customFormat="1" ht="14.25">
      <c r="B154" s="67" t="s">
        <v>346</v>
      </c>
      <c r="C154" s="67" t="s">
        <v>347</v>
      </c>
      <c r="D154" s="67" t="s">
        <v>12</v>
      </c>
      <c r="E154" s="67">
        <v>6</v>
      </c>
      <c r="F154" s="68">
        <f>TRUNC(0.48,2)</f>
        <v>0.48</v>
      </c>
      <c r="G154" s="63">
        <f>TRUNC(E154*F154,2)</f>
        <v>2.88</v>
      </c>
      <c r="H154" s="63"/>
      <c r="I154" s="64"/>
      <c r="J154" s="97"/>
    </row>
    <row r="155" spans="2:10" s="67" customFormat="1" ht="14.25">
      <c r="B155" s="67" t="s">
        <v>188</v>
      </c>
      <c r="C155" s="67" t="s">
        <v>189</v>
      </c>
      <c r="D155" s="67" t="s">
        <v>6</v>
      </c>
      <c r="E155" s="67">
        <v>0.7725</v>
      </c>
      <c r="F155" s="68">
        <f>TRUNC(15.09,2)</f>
        <v>15.09</v>
      </c>
      <c r="G155" s="63">
        <f>TRUNC(E155*F155,2)</f>
        <v>11.65</v>
      </c>
      <c r="H155" s="63"/>
      <c r="I155" s="64"/>
      <c r="J155" s="97"/>
    </row>
    <row r="156" spans="2:10" s="67" customFormat="1" ht="14.25">
      <c r="B156" s="67" t="s">
        <v>206</v>
      </c>
      <c r="C156" s="67" t="s">
        <v>207</v>
      </c>
      <c r="D156" s="67" t="s">
        <v>6</v>
      </c>
      <c r="E156" s="67">
        <v>1.545</v>
      </c>
      <c r="F156" s="68">
        <f>TRUNC(20.83,2)</f>
        <v>20.83</v>
      </c>
      <c r="G156" s="63">
        <f>TRUNC(E156*F156,2)</f>
        <v>32.18</v>
      </c>
      <c r="H156" s="63"/>
      <c r="I156" s="64"/>
      <c r="J156" s="97"/>
    </row>
    <row r="157" spans="2:10" s="67" customFormat="1" ht="14.25">
      <c r="B157" s="67" t="s">
        <v>402</v>
      </c>
      <c r="C157" s="67" t="s">
        <v>403</v>
      </c>
      <c r="D157" s="67" t="s">
        <v>1</v>
      </c>
      <c r="E157" s="67">
        <v>0.0325</v>
      </c>
      <c r="F157" s="68">
        <f>TRUNC(223.3993,2)</f>
        <v>223.39</v>
      </c>
      <c r="G157" s="63">
        <f>TRUNC(E157*F157,2)</f>
        <v>7.26</v>
      </c>
      <c r="H157" s="63"/>
      <c r="I157" s="64"/>
      <c r="J157" s="97"/>
    </row>
    <row r="158" spans="5:10" s="67" customFormat="1" ht="14.25">
      <c r="E158" s="67" t="s">
        <v>7</v>
      </c>
      <c r="F158" s="68"/>
      <c r="G158" s="63">
        <f>TRUNC(SUM(G153:G157),2)</f>
        <v>76.29</v>
      </c>
      <c r="H158" s="63"/>
      <c r="I158" s="64"/>
      <c r="J158" s="97"/>
    </row>
    <row r="159" spans="1:10" s="99" customFormat="1" ht="42.75">
      <c r="A159" s="99" t="s">
        <v>376</v>
      </c>
      <c r="B159" s="99" t="s">
        <v>404</v>
      </c>
      <c r="C159" s="99" t="s">
        <v>351</v>
      </c>
      <c r="D159" s="99" t="s">
        <v>0</v>
      </c>
      <c r="E159" s="99">
        <v>3.6</v>
      </c>
      <c r="F159" s="100">
        <f>TRUNC(G164,2)</f>
        <v>26.38</v>
      </c>
      <c r="G159" s="101">
        <f>TRUNC(F159*1.2338,2)</f>
        <v>32.54</v>
      </c>
      <c r="H159" s="101">
        <f>TRUNC(F159*E159,2)</f>
        <v>94.96</v>
      </c>
      <c r="I159" s="102">
        <f>TRUNC(E159*G159,2)</f>
        <v>117.14</v>
      </c>
      <c r="J159" s="114">
        <v>110.8</v>
      </c>
    </row>
    <row r="160" spans="2:10" s="67" customFormat="1" ht="14.25">
      <c r="B160" s="67" t="s">
        <v>188</v>
      </c>
      <c r="C160" s="67" t="s">
        <v>189</v>
      </c>
      <c r="D160" s="67" t="s">
        <v>6</v>
      </c>
      <c r="E160" s="67">
        <v>0.41200000000000003</v>
      </c>
      <c r="F160" s="68">
        <f>TRUNC(15.09,2)</f>
        <v>15.09</v>
      </c>
      <c r="G160" s="63">
        <f>TRUNC(E160*F160,2)</f>
        <v>6.21</v>
      </c>
      <c r="H160" s="63"/>
      <c r="I160" s="64"/>
      <c r="J160" s="97"/>
    </row>
    <row r="161" spans="2:10" s="67" customFormat="1" ht="14.25">
      <c r="B161" s="67" t="s">
        <v>206</v>
      </c>
      <c r="C161" s="67" t="s">
        <v>207</v>
      </c>
      <c r="D161" s="67" t="s">
        <v>6</v>
      </c>
      <c r="E161" s="67">
        <v>0.41200000000000003</v>
      </c>
      <c r="F161" s="68">
        <f>TRUNC(20.83,2)</f>
        <v>20.83</v>
      </c>
      <c r="G161" s="63">
        <f>TRUNC(E161*F161,2)</f>
        <v>8.58</v>
      </c>
      <c r="H161" s="63"/>
      <c r="I161" s="64"/>
      <c r="J161" s="97"/>
    </row>
    <row r="162" spans="2:10" s="67" customFormat="1" ht="28.5">
      <c r="B162" s="67" t="s">
        <v>405</v>
      </c>
      <c r="C162" s="67" t="s">
        <v>406</v>
      </c>
      <c r="D162" s="67" t="s">
        <v>0</v>
      </c>
      <c r="E162" s="67">
        <v>1</v>
      </c>
      <c r="F162" s="68">
        <f>TRUNC(5.0618,2)</f>
        <v>5.06</v>
      </c>
      <c r="G162" s="63">
        <f>TRUNC(E162*F162,2)</f>
        <v>5.06</v>
      </c>
      <c r="H162" s="63"/>
      <c r="I162" s="64"/>
      <c r="J162" s="97"/>
    </row>
    <row r="163" spans="2:10" s="67" customFormat="1" ht="14.25">
      <c r="B163" s="67" t="s">
        <v>407</v>
      </c>
      <c r="C163" s="67" t="s">
        <v>408</v>
      </c>
      <c r="D163" s="67" t="s">
        <v>1</v>
      </c>
      <c r="E163" s="67">
        <v>0.024</v>
      </c>
      <c r="F163" s="68">
        <f>TRUNC(272.453,2)</f>
        <v>272.45</v>
      </c>
      <c r="G163" s="63">
        <f>TRUNC(E163*F163,2)</f>
        <v>6.53</v>
      </c>
      <c r="H163" s="63"/>
      <c r="I163" s="64"/>
      <c r="J163" s="97"/>
    </row>
    <row r="164" spans="5:10" s="67" customFormat="1" ht="14.25">
      <c r="E164" s="67" t="s">
        <v>7</v>
      </c>
      <c r="F164" s="68"/>
      <c r="G164" s="63">
        <f>TRUNC(SUM(G160:G163),2)</f>
        <v>26.38</v>
      </c>
      <c r="H164" s="63"/>
      <c r="I164" s="64"/>
      <c r="J164" s="97"/>
    </row>
    <row r="165" spans="1:10" s="99" customFormat="1" ht="28.5">
      <c r="A165" s="99" t="s">
        <v>377</v>
      </c>
      <c r="B165" s="99" t="s">
        <v>409</v>
      </c>
      <c r="C165" s="99" t="s">
        <v>355</v>
      </c>
      <c r="D165" s="99" t="s">
        <v>1</v>
      </c>
      <c r="E165" s="99">
        <v>0.05</v>
      </c>
      <c r="F165" s="100">
        <f>TRUNC(G175,2)</f>
        <v>1557.92</v>
      </c>
      <c r="G165" s="101">
        <f>TRUNC(F165*1.2338,2)</f>
        <v>1922.16</v>
      </c>
      <c r="H165" s="101">
        <f>TRUNC(F165*E165,2)</f>
        <v>77.89</v>
      </c>
      <c r="I165" s="102">
        <f>TRUNC(E165*G165,2)</f>
        <v>96.1</v>
      </c>
      <c r="J165" s="114">
        <v>92.41</v>
      </c>
    </row>
    <row r="166" spans="2:10" s="67" customFormat="1" ht="28.5">
      <c r="B166" s="67" t="s">
        <v>4</v>
      </c>
      <c r="C166" s="67" t="s">
        <v>71</v>
      </c>
      <c r="D166" s="67" t="s">
        <v>5</v>
      </c>
      <c r="E166" s="67">
        <v>1.4</v>
      </c>
      <c r="F166" s="68">
        <f>TRUNC(8.55,2)</f>
        <v>8.55</v>
      </c>
      <c r="G166" s="63">
        <f aca="true" t="shared" si="5" ref="G166:G174">TRUNC(E166*F166,2)</f>
        <v>11.97</v>
      </c>
      <c r="H166" s="63"/>
      <c r="I166" s="64"/>
      <c r="J166" s="97"/>
    </row>
    <row r="167" spans="2:10" s="67" customFormat="1" ht="14.25">
      <c r="B167" s="67" t="s">
        <v>356</v>
      </c>
      <c r="C167" s="67" t="s">
        <v>357</v>
      </c>
      <c r="D167" s="67" t="s">
        <v>5</v>
      </c>
      <c r="E167" s="67">
        <v>75</v>
      </c>
      <c r="F167" s="68">
        <f>TRUNC(4.1384,2)</f>
        <v>4.13</v>
      </c>
      <c r="G167" s="63">
        <f t="shared" si="5"/>
        <v>309.75</v>
      </c>
      <c r="H167" s="63"/>
      <c r="I167" s="64"/>
      <c r="J167" s="97"/>
    </row>
    <row r="168" spans="2:10" s="67" customFormat="1" ht="14.25">
      <c r="B168" s="67" t="s">
        <v>358</v>
      </c>
      <c r="C168" s="67" t="s">
        <v>359</v>
      </c>
      <c r="D168" s="67" t="s">
        <v>5</v>
      </c>
      <c r="E168" s="67">
        <v>1.2</v>
      </c>
      <c r="F168" s="68">
        <f>TRUNC(6.4,2)</f>
        <v>6.4</v>
      </c>
      <c r="G168" s="63">
        <f t="shared" si="5"/>
        <v>7.68</v>
      </c>
      <c r="H168" s="63"/>
      <c r="I168" s="64"/>
      <c r="J168" s="97"/>
    </row>
    <row r="169" spans="2:10" s="67" customFormat="1" ht="14.25">
      <c r="B169" s="67" t="s">
        <v>188</v>
      </c>
      <c r="C169" s="67" t="s">
        <v>189</v>
      </c>
      <c r="D169" s="67" t="s">
        <v>6</v>
      </c>
      <c r="E169" s="67">
        <v>30.900000000000002</v>
      </c>
      <c r="F169" s="68">
        <f>TRUNC(15.09,2)</f>
        <v>15.09</v>
      </c>
      <c r="G169" s="63">
        <f t="shared" si="5"/>
        <v>466.28</v>
      </c>
      <c r="H169" s="63"/>
      <c r="I169" s="64"/>
      <c r="J169" s="97"/>
    </row>
    <row r="170" spans="2:10" s="67" customFormat="1" ht="14.25">
      <c r="B170" s="67" t="s">
        <v>202</v>
      </c>
      <c r="C170" s="67" t="s">
        <v>203</v>
      </c>
      <c r="D170" s="67" t="s">
        <v>6</v>
      </c>
      <c r="E170" s="67">
        <v>15.450000000000001</v>
      </c>
      <c r="F170" s="68">
        <f>TRUNC(20.83,2)</f>
        <v>20.83</v>
      </c>
      <c r="G170" s="63">
        <f t="shared" si="5"/>
        <v>321.82</v>
      </c>
      <c r="H170" s="63"/>
      <c r="I170" s="64"/>
      <c r="J170" s="97"/>
    </row>
    <row r="171" spans="2:10" s="67" customFormat="1" ht="14.25">
      <c r="B171" s="67" t="s">
        <v>204</v>
      </c>
      <c r="C171" s="67" t="s">
        <v>205</v>
      </c>
      <c r="D171" s="67" t="s">
        <v>6</v>
      </c>
      <c r="E171" s="67">
        <v>6.18</v>
      </c>
      <c r="F171" s="68">
        <f>TRUNC(20.83,2)</f>
        <v>20.83</v>
      </c>
      <c r="G171" s="63">
        <f t="shared" si="5"/>
        <v>128.72</v>
      </c>
      <c r="H171" s="63"/>
      <c r="I171" s="64"/>
      <c r="J171" s="97"/>
    </row>
    <row r="172" spans="2:10" s="67" customFormat="1" ht="14.25">
      <c r="B172" s="67" t="s">
        <v>206</v>
      </c>
      <c r="C172" s="67" t="s">
        <v>207</v>
      </c>
      <c r="D172" s="67" t="s">
        <v>6</v>
      </c>
      <c r="E172" s="67">
        <v>4.12</v>
      </c>
      <c r="F172" s="68">
        <f>TRUNC(20.83,2)</f>
        <v>20.83</v>
      </c>
      <c r="G172" s="63">
        <f t="shared" si="5"/>
        <v>85.81</v>
      </c>
      <c r="H172" s="63"/>
      <c r="I172" s="64"/>
      <c r="J172" s="97"/>
    </row>
    <row r="173" spans="2:10" s="67" customFormat="1" ht="14.25">
      <c r="B173" s="67" t="s">
        <v>410</v>
      </c>
      <c r="C173" s="67" t="s">
        <v>411</v>
      </c>
      <c r="D173" s="67" t="s">
        <v>1</v>
      </c>
      <c r="E173" s="67">
        <v>1.05</v>
      </c>
      <c r="F173" s="68">
        <f>TRUNC(192.4416,2)</f>
        <v>192.44</v>
      </c>
      <c r="G173" s="63">
        <f t="shared" si="5"/>
        <v>202.06</v>
      </c>
      <c r="H173" s="63"/>
      <c r="I173" s="64"/>
      <c r="J173" s="97"/>
    </row>
    <row r="174" spans="2:10" s="67" customFormat="1" ht="14.25">
      <c r="B174" s="67" t="s">
        <v>196</v>
      </c>
      <c r="C174" s="67" t="s">
        <v>399</v>
      </c>
      <c r="D174" s="67" t="s">
        <v>0</v>
      </c>
      <c r="E174" s="67">
        <v>1.1</v>
      </c>
      <c r="F174" s="68">
        <f>TRUNC(21.6761,2)</f>
        <v>21.67</v>
      </c>
      <c r="G174" s="63">
        <f t="shared" si="5"/>
        <v>23.83</v>
      </c>
      <c r="H174" s="63"/>
      <c r="I174" s="64"/>
      <c r="J174" s="97"/>
    </row>
    <row r="175" spans="5:10" s="67" customFormat="1" ht="14.25">
      <c r="E175" s="67" t="s">
        <v>7</v>
      </c>
      <c r="F175" s="68"/>
      <c r="G175" s="63">
        <f>TRUNC(SUM(G166:G174),2)</f>
        <v>1557.92</v>
      </c>
      <c r="H175" s="63"/>
      <c r="I175" s="64"/>
      <c r="J175" s="97"/>
    </row>
    <row r="176" spans="1:10" s="99" customFormat="1" ht="42.75">
      <c r="A176" s="99" t="s">
        <v>525</v>
      </c>
      <c r="B176" s="99" t="s">
        <v>821</v>
      </c>
      <c r="C176" s="99" t="s">
        <v>514</v>
      </c>
      <c r="D176" s="99" t="s">
        <v>1</v>
      </c>
      <c r="E176" s="99">
        <v>0.4</v>
      </c>
      <c r="F176" s="100">
        <f>TRUNC(G183,2)</f>
        <v>464.42</v>
      </c>
      <c r="G176" s="101">
        <f>TRUNC(F176*1.2338,2)</f>
        <v>573</v>
      </c>
      <c r="H176" s="101">
        <f>TRUNC(F176*E176,2)</f>
        <v>185.76</v>
      </c>
      <c r="I176" s="102">
        <f>TRUNC(E176*G176,2)</f>
        <v>229.2</v>
      </c>
      <c r="J176" s="114">
        <v>262.97</v>
      </c>
    </row>
    <row r="177" spans="2:10" s="76" customFormat="1" ht="30">
      <c r="B177" s="80" t="s">
        <v>822</v>
      </c>
      <c r="C177" s="76" t="s">
        <v>823</v>
      </c>
      <c r="D177" s="76" t="s">
        <v>1</v>
      </c>
      <c r="E177" s="76">
        <v>1.103</v>
      </c>
      <c r="F177" s="79">
        <v>263.42</v>
      </c>
      <c r="G177" s="77">
        <f aca="true" t="shared" si="6" ref="G177:G182">TRUNC(E177*F177,2)</f>
        <v>290.55</v>
      </c>
      <c r="H177" s="77"/>
      <c r="I177" s="78"/>
      <c r="J177" s="98"/>
    </row>
    <row r="178" spans="2:10" s="67" customFormat="1" ht="14.25">
      <c r="B178" s="67" t="s">
        <v>817</v>
      </c>
      <c r="C178" s="67" t="s">
        <v>127</v>
      </c>
      <c r="D178" s="67" t="s">
        <v>6</v>
      </c>
      <c r="E178" s="67">
        <v>5.538</v>
      </c>
      <c r="F178" s="68">
        <f>TRUNC(21.86,2)</f>
        <v>21.86</v>
      </c>
      <c r="G178" s="63">
        <f t="shared" si="6"/>
        <v>121.06</v>
      </c>
      <c r="H178" s="63"/>
      <c r="I178" s="64"/>
      <c r="J178" s="97"/>
    </row>
    <row r="179" spans="2:10" s="67" customFormat="1" ht="14.25">
      <c r="B179" s="67" t="s">
        <v>824</v>
      </c>
      <c r="C179" s="67" t="s">
        <v>307</v>
      </c>
      <c r="D179" s="67" t="s">
        <v>6</v>
      </c>
      <c r="E179" s="67">
        <v>1.846</v>
      </c>
      <c r="F179" s="68">
        <f>TRUNC(28,2)</f>
        <v>28</v>
      </c>
      <c r="G179" s="63">
        <f t="shared" si="6"/>
        <v>51.68</v>
      </c>
      <c r="H179" s="63"/>
      <c r="I179" s="64"/>
      <c r="J179" s="97"/>
    </row>
    <row r="180" spans="2:10" s="76" customFormat="1" ht="15">
      <c r="B180" s="76" t="s">
        <v>825</v>
      </c>
      <c r="C180" s="76" t="s">
        <v>515</v>
      </c>
      <c r="D180" s="76" t="s">
        <v>6</v>
      </c>
      <c r="E180" s="76">
        <v>0</v>
      </c>
      <c r="F180" s="79">
        <f>TRUNC(27.46,2)</f>
        <v>27.46</v>
      </c>
      <c r="G180" s="77">
        <f t="shared" si="6"/>
        <v>0</v>
      </c>
      <c r="H180" s="77"/>
      <c r="I180" s="78"/>
      <c r="J180" s="98"/>
    </row>
    <row r="181" spans="2:10" s="67" customFormat="1" ht="28.5">
      <c r="B181" s="67" t="s">
        <v>826</v>
      </c>
      <c r="C181" s="67" t="s">
        <v>827</v>
      </c>
      <c r="D181" s="67" t="s">
        <v>385</v>
      </c>
      <c r="E181" s="67">
        <v>1.174</v>
      </c>
      <c r="F181" s="68">
        <f>TRUNC(0.29,2)</f>
        <v>0.29</v>
      </c>
      <c r="G181" s="63">
        <f t="shared" si="6"/>
        <v>0.34</v>
      </c>
      <c r="H181" s="63"/>
      <c r="I181" s="64"/>
      <c r="J181" s="97"/>
    </row>
    <row r="182" spans="2:10" s="67" customFormat="1" ht="28.5">
      <c r="B182" s="67" t="s">
        <v>828</v>
      </c>
      <c r="C182" s="67" t="s">
        <v>829</v>
      </c>
      <c r="D182" s="67" t="s">
        <v>52</v>
      </c>
      <c r="E182" s="67">
        <v>0.672</v>
      </c>
      <c r="F182" s="68">
        <f>TRUNC(1.18,2)</f>
        <v>1.18</v>
      </c>
      <c r="G182" s="63">
        <f t="shared" si="6"/>
        <v>0.79</v>
      </c>
      <c r="H182" s="63"/>
      <c r="I182" s="64"/>
      <c r="J182" s="97"/>
    </row>
    <row r="183" spans="5:10" s="67" customFormat="1" ht="14.25">
      <c r="E183" s="67" t="s">
        <v>7</v>
      </c>
      <c r="F183" s="68"/>
      <c r="G183" s="63">
        <f>TRUNC(SUM(G177:G182),2)</f>
        <v>464.42</v>
      </c>
      <c r="H183" s="63"/>
      <c r="I183" s="64"/>
      <c r="J183" s="97"/>
    </row>
    <row r="184" spans="1:10" s="99" customFormat="1" ht="42.75">
      <c r="A184" s="99" t="s">
        <v>526</v>
      </c>
      <c r="B184" s="99" t="s">
        <v>830</v>
      </c>
      <c r="C184" s="99" t="s">
        <v>516</v>
      </c>
      <c r="D184" s="99" t="s">
        <v>5</v>
      </c>
      <c r="E184" s="99">
        <v>40.13</v>
      </c>
      <c r="F184" s="100">
        <f>TRUNC(G190,2)</f>
        <v>11.61</v>
      </c>
      <c r="G184" s="101">
        <f>TRUNC(F184*1.2338,2)</f>
        <v>14.32</v>
      </c>
      <c r="H184" s="101">
        <f>TRUNC(F184*E184,2)</f>
        <v>465.9</v>
      </c>
      <c r="I184" s="102">
        <f>TRUNC(E184*G184,2)</f>
        <v>574.66</v>
      </c>
      <c r="J184" s="114">
        <v>581.08</v>
      </c>
    </row>
    <row r="185" spans="2:10" s="67" customFormat="1" ht="28.5">
      <c r="B185" s="67" t="s">
        <v>831</v>
      </c>
      <c r="C185" s="67" t="s">
        <v>517</v>
      </c>
      <c r="D185" s="67" t="s">
        <v>12</v>
      </c>
      <c r="E185" s="67">
        <v>0.743</v>
      </c>
      <c r="F185" s="68">
        <f>TRUNC(0.25,2)</f>
        <v>0.25</v>
      </c>
      <c r="G185" s="63">
        <f>TRUNC(E185*F185,2)</f>
        <v>0.18</v>
      </c>
      <c r="H185" s="63"/>
      <c r="I185" s="64"/>
      <c r="J185" s="97"/>
    </row>
    <row r="186" spans="2:10" s="67" customFormat="1" ht="14.25">
      <c r="B186" s="67" t="s">
        <v>832</v>
      </c>
      <c r="C186" s="67" t="s">
        <v>518</v>
      </c>
      <c r="D186" s="67" t="s">
        <v>5</v>
      </c>
      <c r="E186" s="67">
        <v>0.025</v>
      </c>
      <c r="F186" s="68">
        <f>TRUNC(12.9,2)</f>
        <v>12.9</v>
      </c>
      <c r="G186" s="63">
        <f>TRUNC(E186*F186,2)</f>
        <v>0.32</v>
      </c>
      <c r="H186" s="63"/>
      <c r="I186" s="64"/>
      <c r="J186" s="97"/>
    </row>
    <row r="187" spans="2:10" s="67" customFormat="1" ht="14.25">
      <c r="B187" s="67" t="s">
        <v>833</v>
      </c>
      <c r="C187" s="67" t="s">
        <v>519</v>
      </c>
      <c r="D187" s="67" t="s">
        <v>6</v>
      </c>
      <c r="E187" s="67">
        <v>0.1278</v>
      </c>
      <c r="F187" s="68">
        <f>TRUNC(27.84,2)</f>
        <v>27.84</v>
      </c>
      <c r="G187" s="63">
        <f>TRUNC(E187*F187,2)</f>
        <v>3.55</v>
      </c>
      <c r="H187" s="63"/>
      <c r="I187" s="64"/>
      <c r="J187" s="97"/>
    </row>
    <row r="188" spans="2:10" s="67" customFormat="1" ht="14.25">
      <c r="B188" s="67" t="s">
        <v>834</v>
      </c>
      <c r="C188" s="67" t="s">
        <v>520</v>
      </c>
      <c r="D188" s="67" t="s">
        <v>6</v>
      </c>
      <c r="E188" s="67">
        <v>0.0209</v>
      </c>
      <c r="F188" s="68">
        <f>TRUNC(21.51,2)</f>
        <v>21.51</v>
      </c>
      <c r="G188" s="63">
        <f>TRUNC(E188*F188,2)</f>
        <v>0.44</v>
      </c>
      <c r="H188" s="63"/>
      <c r="I188" s="64"/>
      <c r="J188" s="97"/>
    </row>
    <row r="189" spans="2:10" s="67" customFormat="1" ht="28.5">
      <c r="B189" s="67" t="s">
        <v>835</v>
      </c>
      <c r="C189" s="67" t="s">
        <v>836</v>
      </c>
      <c r="D189" s="67" t="s">
        <v>5</v>
      </c>
      <c r="E189" s="67">
        <v>1</v>
      </c>
      <c r="F189" s="68">
        <f>TRUNC(7.12,2)</f>
        <v>7.12</v>
      </c>
      <c r="G189" s="63">
        <f>TRUNC(E189*F189,2)</f>
        <v>7.12</v>
      </c>
      <c r="H189" s="63"/>
      <c r="I189" s="64"/>
      <c r="J189" s="97"/>
    </row>
    <row r="190" spans="5:10" s="67" customFormat="1" ht="14.25">
      <c r="E190" s="67" t="s">
        <v>7</v>
      </c>
      <c r="F190" s="68"/>
      <c r="G190" s="63">
        <f>TRUNC(SUM(G185:G189),2)</f>
        <v>11.61</v>
      </c>
      <c r="H190" s="63"/>
      <c r="I190" s="64"/>
      <c r="J190" s="97"/>
    </row>
    <row r="191" spans="1:10" s="99" customFormat="1" ht="43.5">
      <c r="A191" s="99" t="s">
        <v>904</v>
      </c>
      <c r="B191" s="99" t="s">
        <v>907</v>
      </c>
      <c r="C191" s="99" t="s">
        <v>911</v>
      </c>
      <c r="D191" s="99" t="s">
        <v>0</v>
      </c>
      <c r="E191" s="99">
        <v>20.56</v>
      </c>
      <c r="F191" s="100">
        <f>TRUNC(G200,2)</f>
        <v>73.56</v>
      </c>
      <c r="G191" s="101">
        <f>TRUNC(F191*1.2338,2)</f>
        <v>90.75</v>
      </c>
      <c r="H191" s="101">
        <f>TRUNC(F191*E191,2)</f>
        <v>1512.39</v>
      </c>
      <c r="I191" s="102">
        <f>TRUNC(E191*G191,2)</f>
        <v>1865.82</v>
      </c>
      <c r="J191" s="114"/>
    </row>
    <row r="192" spans="2:10" s="76" customFormat="1" ht="30">
      <c r="B192" s="76">
        <v>10917</v>
      </c>
      <c r="C192" s="76" t="s">
        <v>906</v>
      </c>
      <c r="D192" s="76" t="s">
        <v>0</v>
      </c>
      <c r="E192" s="76">
        <v>1.1224</v>
      </c>
      <c r="F192" s="79">
        <v>6.88</v>
      </c>
      <c r="G192" s="77">
        <f aca="true" t="shared" si="7" ref="G192:G199">TRUNC(E192*F192,2)</f>
        <v>7.72</v>
      </c>
      <c r="H192" s="77"/>
      <c r="I192" s="78"/>
      <c r="J192" s="98"/>
    </row>
    <row r="193" spans="2:10" s="67" customFormat="1" ht="28.5">
      <c r="B193" s="67" t="s">
        <v>896</v>
      </c>
      <c r="C193" s="67" t="s">
        <v>897</v>
      </c>
      <c r="D193" s="67" t="s">
        <v>3</v>
      </c>
      <c r="E193" s="67">
        <v>0.2</v>
      </c>
      <c r="F193" s="68">
        <f>TRUNC(1.46,2)</f>
        <v>1.46</v>
      </c>
      <c r="G193" s="63">
        <f t="shared" si="7"/>
        <v>0.29</v>
      </c>
      <c r="H193" s="63"/>
      <c r="I193" s="64"/>
      <c r="J193" s="97"/>
    </row>
    <row r="194" spans="2:10" s="67" customFormat="1" ht="28.5">
      <c r="B194" s="67" t="s">
        <v>898</v>
      </c>
      <c r="C194" s="67" t="s">
        <v>899</v>
      </c>
      <c r="D194" s="67" t="s">
        <v>3</v>
      </c>
      <c r="E194" s="67">
        <v>0.25</v>
      </c>
      <c r="F194" s="68">
        <f>TRUNC(7.05,2)</f>
        <v>7.05</v>
      </c>
      <c r="G194" s="63">
        <f t="shared" si="7"/>
        <v>1.76</v>
      </c>
      <c r="H194" s="63"/>
      <c r="I194" s="64"/>
      <c r="J194" s="97"/>
    </row>
    <row r="195" spans="2:10" s="67" customFormat="1" ht="14.25">
      <c r="B195" s="67" t="s">
        <v>900</v>
      </c>
      <c r="C195" s="67" t="s">
        <v>901</v>
      </c>
      <c r="D195" s="67" t="s">
        <v>0</v>
      </c>
      <c r="E195" s="67">
        <v>1.128</v>
      </c>
      <c r="F195" s="68">
        <f>TRUNC(0.66,2)</f>
        <v>0.66</v>
      </c>
      <c r="G195" s="63">
        <f t="shared" si="7"/>
        <v>0.74</v>
      </c>
      <c r="H195" s="63"/>
      <c r="I195" s="64"/>
      <c r="J195" s="97"/>
    </row>
    <row r="196" spans="2:10" s="67" customFormat="1" ht="14.25">
      <c r="B196" s="67" t="s">
        <v>817</v>
      </c>
      <c r="C196" s="67" t="s">
        <v>127</v>
      </c>
      <c r="D196" s="67" t="s">
        <v>6</v>
      </c>
      <c r="E196" s="67">
        <v>0.5573</v>
      </c>
      <c r="F196" s="68">
        <f>TRUNC(21.86,2)</f>
        <v>21.86</v>
      </c>
      <c r="G196" s="63">
        <f t="shared" si="7"/>
        <v>12.18</v>
      </c>
      <c r="H196" s="63"/>
      <c r="I196" s="64"/>
      <c r="J196" s="97"/>
    </row>
    <row r="197" spans="2:10" s="67" customFormat="1" ht="14.25">
      <c r="B197" s="67" t="s">
        <v>824</v>
      </c>
      <c r="C197" s="67" t="s">
        <v>307</v>
      </c>
      <c r="D197" s="67" t="s">
        <v>6</v>
      </c>
      <c r="E197" s="67">
        <v>0.3317</v>
      </c>
      <c r="F197" s="68">
        <f>TRUNC(28,2)</f>
        <v>28</v>
      </c>
      <c r="G197" s="63">
        <f t="shared" si="7"/>
        <v>9.28</v>
      </c>
      <c r="H197" s="63"/>
      <c r="I197" s="64"/>
      <c r="J197" s="97"/>
    </row>
    <row r="198" spans="2:10" s="67" customFormat="1" ht="14.25">
      <c r="B198" s="67" t="s">
        <v>825</v>
      </c>
      <c r="C198" s="67" t="s">
        <v>515</v>
      </c>
      <c r="D198" s="67" t="s">
        <v>6</v>
      </c>
      <c r="E198" s="67">
        <v>0.2256</v>
      </c>
      <c r="F198" s="68">
        <f>TRUNC(27.46,2)</f>
        <v>27.46</v>
      </c>
      <c r="G198" s="63">
        <f t="shared" si="7"/>
        <v>6.19</v>
      </c>
      <c r="H198" s="63"/>
      <c r="I198" s="64"/>
      <c r="J198" s="97"/>
    </row>
    <row r="199" spans="2:10" s="67" customFormat="1" ht="28.5">
      <c r="B199" s="67" t="s">
        <v>902</v>
      </c>
      <c r="C199" s="67" t="s">
        <v>903</v>
      </c>
      <c r="D199" s="67" t="s">
        <v>1</v>
      </c>
      <c r="E199" s="67">
        <v>0.1213</v>
      </c>
      <c r="F199" s="68">
        <f>TRUNC(291.88,2)</f>
        <v>291.88</v>
      </c>
      <c r="G199" s="63">
        <f t="shared" si="7"/>
        <v>35.4</v>
      </c>
      <c r="H199" s="63"/>
      <c r="I199" s="64"/>
      <c r="J199" s="97"/>
    </row>
    <row r="200" spans="5:10" s="67" customFormat="1" ht="14.25">
      <c r="E200" s="67" t="s">
        <v>7</v>
      </c>
      <c r="F200" s="68"/>
      <c r="G200" s="63">
        <f>TRUNC(SUM(G192:G199),2)</f>
        <v>73.56</v>
      </c>
      <c r="H200" s="63"/>
      <c r="I200" s="64"/>
      <c r="J200" s="97"/>
    </row>
    <row r="201" spans="1:10" s="99" customFormat="1" ht="43.5">
      <c r="A201" s="99" t="s">
        <v>908</v>
      </c>
      <c r="B201" s="99" t="s">
        <v>910</v>
      </c>
      <c r="C201" s="99" t="s">
        <v>912</v>
      </c>
      <c r="D201" s="99" t="s">
        <v>1</v>
      </c>
      <c r="E201" s="99">
        <v>0.09</v>
      </c>
      <c r="F201" s="100">
        <f>TRUNC(G208,2)</f>
        <v>495.84</v>
      </c>
      <c r="G201" s="101">
        <f>TRUNC(F201*1.2338,2)</f>
        <v>611.76</v>
      </c>
      <c r="H201" s="101">
        <f>TRUNC(F201*E201,2)</f>
        <v>44.62</v>
      </c>
      <c r="I201" s="102">
        <f>TRUNC(E201*G201,2)</f>
        <v>55.05</v>
      </c>
      <c r="J201" s="114"/>
    </row>
    <row r="202" spans="2:10" s="76" customFormat="1" ht="30">
      <c r="B202" s="123" t="s">
        <v>902</v>
      </c>
      <c r="C202" s="76" t="s">
        <v>909</v>
      </c>
      <c r="D202" s="76" t="s">
        <v>1</v>
      </c>
      <c r="E202" s="76">
        <v>1.103</v>
      </c>
      <c r="F202" s="79">
        <f>TRUNC(291.916794,2)</f>
        <v>291.91</v>
      </c>
      <c r="G202" s="77">
        <f aca="true" t="shared" si="8" ref="G202:G207">TRUNC(E202*F202,2)</f>
        <v>321.97</v>
      </c>
      <c r="H202" s="77"/>
      <c r="I202" s="78"/>
      <c r="J202" s="98"/>
    </row>
    <row r="203" spans="2:10" s="67" customFormat="1" ht="14.25">
      <c r="B203" s="67" t="s">
        <v>817</v>
      </c>
      <c r="C203" s="67" t="s">
        <v>127</v>
      </c>
      <c r="D203" s="67" t="s">
        <v>6</v>
      </c>
      <c r="E203" s="67">
        <v>5.538</v>
      </c>
      <c r="F203" s="68">
        <f>TRUNC(21.86,2)</f>
        <v>21.86</v>
      </c>
      <c r="G203" s="63">
        <f t="shared" si="8"/>
        <v>121.06</v>
      </c>
      <c r="H203" s="63"/>
      <c r="I203" s="64"/>
      <c r="J203" s="97"/>
    </row>
    <row r="204" spans="2:10" s="67" customFormat="1" ht="14.25">
      <c r="B204" s="67" t="s">
        <v>824</v>
      </c>
      <c r="C204" s="67" t="s">
        <v>307</v>
      </c>
      <c r="D204" s="67" t="s">
        <v>6</v>
      </c>
      <c r="E204" s="67">
        <v>1.846</v>
      </c>
      <c r="F204" s="68">
        <f>TRUNC(28,2)</f>
        <v>28</v>
      </c>
      <c r="G204" s="63">
        <f t="shared" si="8"/>
        <v>51.68</v>
      </c>
      <c r="H204" s="63"/>
      <c r="I204" s="64"/>
      <c r="J204" s="97"/>
    </row>
    <row r="205" spans="2:10" s="76" customFormat="1" ht="15">
      <c r="B205" s="76" t="s">
        <v>825</v>
      </c>
      <c r="C205" s="76" t="s">
        <v>515</v>
      </c>
      <c r="D205" s="76" t="s">
        <v>6</v>
      </c>
      <c r="E205" s="76">
        <v>0</v>
      </c>
      <c r="F205" s="79">
        <f>TRUNC(27.46,2)</f>
        <v>27.46</v>
      </c>
      <c r="G205" s="77">
        <f t="shared" si="8"/>
        <v>0</v>
      </c>
      <c r="H205" s="77"/>
      <c r="I205" s="78"/>
      <c r="J205" s="98"/>
    </row>
    <row r="206" spans="2:10" s="67" customFormat="1" ht="28.5">
      <c r="B206" s="67" t="s">
        <v>826</v>
      </c>
      <c r="C206" s="67" t="s">
        <v>827</v>
      </c>
      <c r="D206" s="67" t="s">
        <v>385</v>
      </c>
      <c r="E206" s="67">
        <v>1.174</v>
      </c>
      <c r="F206" s="68">
        <f>TRUNC(0.29,2)</f>
        <v>0.29</v>
      </c>
      <c r="G206" s="63">
        <f t="shared" si="8"/>
        <v>0.34</v>
      </c>
      <c r="H206" s="63"/>
      <c r="I206" s="64"/>
      <c r="J206" s="97"/>
    </row>
    <row r="207" spans="2:10" s="67" customFormat="1" ht="28.5">
      <c r="B207" s="67" t="s">
        <v>828</v>
      </c>
      <c r="C207" s="67" t="s">
        <v>829</v>
      </c>
      <c r="D207" s="67" t="s">
        <v>52</v>
      </c>
      <c r="E207" s="67">
        <v>0.672</v>
      </c>
      <c r="F207" s="68">
        <f>TRUNC(1.18,2)</f>
        <v>1.18</v>
      </c>
      <c r="G207" s="63">
        <f t="shared" si="8"/>
        <v>0.79</v>
      </c>
      <c r="H207" s="63"/>
      <c r="I207" s="64"/>
      <c r="J207" s="97"/>
    </row>
    <row r="208" spans="5:10" s="67" customFormat="1" ht="14.25">
      <c r="E208" s="67" t="s">
        <v>7</v>
      </c>
      <c r="F208" s="68"/>
      <c r="G208" s="63">
        <f>TRUNC(SUM(G202:G207),2)</f>
        <v>495.84</v>
      </c>
      <c r="H208" s="63"/>
      <c r="I208" s="64"/>
      <c r="J208" s="97"/>
    </row>
    <row r="209" spans="1:10" s="44" customFormat="1" ht="15.75">
      <c r="A209" s="53" t="s">
        <v>53</v>
      </c>
      <c r="B209" s="55"/>
      <c r="C209" s="54"/>
      <c r="D209" s="55"/>
      <c r="E209" s="55"/>
      <c r="F209" s="55"/>
      <c r="G209" s="55" t="s">
        <v>174</v>
      </c>
      <c r="H209" s="56">
        <f>H136+H152+H165+H159+H184+H176+H201+H191</f>
        <v>20906.889999999996</v>
      </c>
      <c r="I209" s="56">
        <f>I136+I152+I165+I159+I184+I176+I201+I191</f>
        <v>25793.899999999998</v>
      </c>
      <c r="J209" s="96">
        <v>23724.510000000002</v>
      </c>
    </row>
    <row r="210" spans="1:10" s="43" customFormat="1" ht="15.75">
      <c r="A210" s="43" t="s">
        <v>21</v>
      </c>
      <c r="B210" s="51"/>
      <c r="C210" s="52" t="s">
        <v>67</v>
      </c>
      <c r="D210" s="52"/>
      <c r="E210" s="52"/>
      <c r="F210" s="52"/>
      <c r="G210" s="52"/>
      <c r="H210" s="52"/>
      <c r="I210" s="50"/>
      <c r="J210" s="94"/>
    </row>
    <row r="211" spans="1:10" s="99" customFormat="1" ht="42.75">
      <c r="A211" s="99" t="s">
        <v>55</v>
      </c>
      <c r="B211" s="99" t="s">
        <v>837</v>
      </c>
      <c r="C211" s="99" t="s">
        <v>412</v>
      </c>
      <c r="D211" s="99" t="s">
        <v>0</v>
      </c>
      <c r="E211" s="99">
        <v>119.05</v>
      </c>
      <c r="F211" s="100">
        <f>TRUNC(G218,2)</f>
        <v>162.13</v>
      </c>
      <c r="G211" s="101">
        <f>TRUNC(F211*1.2338,2)</f>
        <v>200.03</v>
      </c>
      <c r="H211" s="101">
        <f>TRUNC(F211*E211,2)</f>
        <v>19301.57</v>
      </c>
      <c r="I211" s="102">
        <f>TRUNC(E211*G211,2)</f>
        <v>23813.57</v>
      </c>
      <c r="J211" s="114">
        <v>24520.72</v>
      </c>
    </row>
    <row r="212" spans="2:10" s="67" customFormat="1" ht="28.5">
      <c r="B212" s="67" t="s">
        <v>838</v>
      </c>
      <c r="C212" s="67" t="s">
        <v>124</v>
      </c>
      <c r="D212" s="67" t="s">
        <v>3</v>
      </c>
      <c r="E212" s="67">
        <v>1.68</v>
      </c>
      <c r="F212" s="68">
        <f>TRUNC(59.31,2)</f>
        <v>59.31</v>
      </c>
      <c r="G212" s="63">
        <f aca="true" t="shared" si="9" ref="G212:G217">TRUNC(E212*F212,2)</f>
        <v>99.64</v>
      </c>
      <c r="H212" s="63"/>
      <c r="I212" s="64"/>
      <c r="J212" s="97"/>
    </row>
    <row r="213" spans="2:10" s="76" customFormat="1" ht="30">
      <c r="B213" s="76" t="s">
        <v>745</v>
      </c>
      <c r="C213" s="76" t="s">
        <v>129</v>
      </c>
      <c r="D213" s="76" t="s">
        <v>0</v>
      </c>
      <c r="E213" s="76">
        <v>1.05</v>
      </c>
      <c r="F213" s="79">
        <v>22.82</v>
      </c>
      <c r="G213" s="77">
        <f t="shared" si="9"/>
        <v>23.96</v>
      </c>
      <c r="H213" s="77"/>
      <c r="I213" s="78"/>
      <c r="J213" s="98"/>
    </row>
    <row r="214" spans="2:10" s="67" customFormat="1" ht="14.25">
      <c r="B214" s="67" t="s">
        <v>839</v>
      </c>
      <c r="C214" s="67" t="s">
        <v>125</v>
      </c>
      <c r="D214" s="67" t="s">
        <v>5</v>
      </c>
      <c r="E214" s="67">
        <v>0.15</v>
      </c>
      <c r="F214" s="68">
        <f>TRUNC(11.96,2)</f>
        <v>11.96</v>
      </c>
      <c r="G214" s="63">
        <f t="shared" si="9"/>
        <v>1.79</v>
      </c>
      <c r="H214" s="63"/>
      <c r="I214" s="64"/>
      <c r="J214" s="97"/>
    </row>
    <row r="215" spans="2:10" s="67" customFormat="1" ht="14.25">
      <c r="B215" s="67" t="s">
        <v>840</v>
      </c>
      <c r="C215" s="67" t="s">
        <v>126</v>
      </c>
      <c r="D215" s="67" t="s">
        <v>5</v>
      </c>
      <c r="E215" s="67">
        <v>0.07</v>
      </c>
      <c r="F215" s="68">
        <f>TRUNC(13.83,2)</f>
        <v>13.83</v>
      </c>
      <c r="G215" s="63">
        <f t="shared" si="9"/>
        <v>0.96</v>
      </c>
      <c r="H215" s="63"/>
      <c r="I215" s="64"/>
      <c r="J215" s="97"/>
    </row>
    <row r="216" spans="2:10" s="67" customFormat="1" ht="14.25">
      <c r="B216" s="67" t="s">
        <v>817</v>
      </c>
      <c r="C216" s="67" t="s">
        <v>127</v>
      </c>
      <c r="D216" s="67" t="s">
        <v>6</v>
      </c>
      <c r="E216" s="67">
        <v>1</v>
      </c>
      <c r="F216" s="68">
        <f>TRUNC(21.86,2)</f>
        <v>21.86</v>
      </c>
      <c r="G216" s="63">
        <f t="shared" si="9"/>
        <v>21.86</v>
      </c>
      <c r="H216" s="63"/>
      <c r="I216" s="64"/>
      <c r="J216" s="97"/>
    </row>
    <row r="217" spans="2:10" s="67" customFormat="1" ht="14.25">
      <c r="B217" s="67" t="s">
        <v>841</v>
      </c>
      <c r="C217" s="67" t="s">
        <v>128</v>
      </c>
      <c r="D217" s="67" t="s">
        <v>6</v>
      </c>
      <c r="E217" s="67">
        <v>0.5</v>
      </c>
      <c r="F217" s="68">
        <f>TRUNC(27.84,2)</f>
        <v>27.84</v>
      </c>
      <c r="G217" s="63">
        <f t="shared" si="9"/>
        <v>13.92</v>
      </c>
      <c r="H217" s="63"/>
      <c r="I217" s="64"/>
      <c r="J217" s="97"/>
    </row>
    <row r="218" spans="5:10" s="67" customFormat="1" ht="14.25">
      <c r="E218" s="67" t="s">
        <v>7</v>
      </c>
      <c r="F218" s="68"/>
      <c r="G218" s="63">
        <f>TRUNC(SUM(G212:G217),2)</f>
        <v>162.13</v>
      </c>
      <c r="H218" s="63"/>
      <c r="I218" s="64"/>
      <c r="J218" s="97"/>
    </row>
    <row r="219" spans="1:10" s="99" customFormat="1" ht="57">
      <c r="A219" s="99" t="s">
        <v>175</v>
      </c>
      <c r="B219" s="99" t="s">
        <v>220</v>
      </c>
      <c r="C219" s="99" t="s">
        <v>413</v>
      </c>
      <c r="D219" s="99" t="s">
        <v>3</v>
      </c>
      <c r="E219" s="99">
        <v>25.4</v>
      </c>
      <c r="F219" s="100">
        <f>TRUNC(G223,2)</f>
        <v>84.71</v>
      </c>
      <c r="G219" s="101">
        <f>TRUNC(F219*1.2338,2)</f>
        <v>104.51</v>
      </c>
      <c r="H219" s="101">
        <f>TRUNC(F219*E219,2)</f>
        <v>2151.63</v>
      </c>
      <c r="I219" s="102">
        <f>TRUNC(E219*G219,2)</f>
        <v>2654.55</v>
      </c>
      <c r="J219" s="114">
        <v>2707.38</v>
      </c>
    </row>
    <row r="220" spans="2:10" s="67" customFormat="1" ht="14.25">
      <c r="B220" s="67" t="s">
        <v>166</v>
      </c>
      <c r="C220" s="67" t="s">
        <v>414</v>
      </c>
      <c r="D220" s="67" t="s">
        <v>3</v>
      </c>
      <c r="E220" s="67">
        <v>1.265</v>
      </c>
      <c r="F220" s="68">
        <f>TRUNC(51.7,2)</f>
        <v>51.7</v>
      </c>
      <c r="G220" s="63">
        <f>TRUNC(E220*F220,2)</f>
        <v>65.4</v>
      </c>
      <c r="H220" s="63"/>
      <c r="I220" s="64"/>
      <c r="J220" s="97"/>
    </row>
    <row r="221" spans="2:10" s="67" customFormat="1" ht="14.25">
      <c r="B221" s="67" t="s">
        <v>221</v>
      </c>
      <c r="C221" s="67" t="s">
        <v>222</v>
      </c>
      <c r="D221" s="67" t="s">
        <v>6</v>
      </c>
      <c r="E221" s="67">
        <v>0.515</v>
      </c>
      <c r="F221" s="68">
        <f>TRUNC(22.42,2)</f>
        <v>22.42</v>
      </c>
      <c r="G221" s="63">
        <f>TRUNC(E221*F221,2)</f>
        <v>11.54</v>
      </c>
      <c r="H221" s="63"/>
      <c r="I221" s="64"/>
      <c r="J221" s="97"/>
    </row>
    <row r="222" spans="2:10" s="67" customFormat="1" ht="14.25">
      <c r="B222" s="67" t="s">
        <v>188</v>
      </c>
      <c r="C222" s="67" t="s">
        <v>189</v>
      </c>
      <c r="D222" s="67" t="s">
        <v>6</v>
      </c>
      <c r="E222" s="67">
        <v>0.515</v>
      </c>
      <c r="F222" s="68">
        <f>TRUNC(15.09,2)</f>
        <v>15.09</v>
      </c>
      <c r="G222" s="63">
        <f>TRUNC(E222*F222,2)</f>
        <v>7.77</v>
      </c>
      <c r="H222" s="63"/>
      <c r="I222" s="64"/>
      <c r="J222" s="97"/>
    </row>
    <row r="223" spans="5:10" s="67" customFormat="1" ht="14.25">
      <c r="E223" s="67" t="s">
        <v>7</v>
      </c>
      <c r="F223" s="68"/>
      <c r="G223" s="63">
        <f>TRUNC(SUM(G220:G222),2)</f>
        <v>84.71</v>
      </c>
      <c r="H223" s="63"/>
      <c r="I223" s="64"/>
      <c r="J223" s="97"/>
    </row>
    <row r="224" spans="1:10" s="44" customFormat="1" ht="15.75">
      <c r="A224" s="53" t="s">
        <v>53</v>
      </c>
      <c r="B224" s="55"/>
      <c r="C224" s="54"/>
      <c r="D224" s="55"/>
      <c r="E224" s="55"/>
      <c r="F224" s="55"/>
      <c r="G224" s="55" t="s">
        <v>56</v>
      </c>
      <c r="H224" s="58">
        <f>H211+H219</f>
        <v>21453.2</v>
      </c>
      <c r="I224" s="58">
        <f>I211+I219</f>
        <v>26468.12</v>
      </c>
      <c r="J224" s="96">
        <v>27228.100000000002</v>
      </c>
    </row>
    <row r="225" spans="1:10" s="43" customFormat="1" ht="15.75">
      <c r="A225" s="43" t="s">
        <v>22</v>
      </c>
      <c r="B225" s="51"/>
      <c r="C225" s="52" t="s">
        <v>68</v>
      </c>
      <c r="D225" s="52"/>
      <c r="E225" s="52"/>
      <c r="F225" s="52"/>
      <c r="G225" s="52"/>
      <c r="H225" s="52"/>
      <c r="I225" s="50"/>
      <c r="J225" s="94"/>
    </row>
    <row r="226" spans="1:10" s="99" customFormat="1" ht="57.75" customHeight="1">
      <c r="A226" s="99" t="s">
        <v>13</v>
      </c>
      <c r="B226" s="99" t="s">
        <v>223</v>
      </c>
      <c r="C226" s="99" t="s">
        <v>167</v>
      </c>
      <c r="D226" s="101" t="s">
        <v>0</v>
      </c>
      <c r="E226" s="106">
        <v>119.05</v>
      </c>
      <c r="F226" s="101">
        <f>TRUNC(G232,2)</f>
        <v>16.8</v>
      </c>
      <c r="G226" s="101">
        <f>TRUNC(F226*1.2338,2)</f>
        <v>20.72</v>
      </c>
      <c r="H226" s="101">
        <f>TRUNC(F226*E226,2)</f>
        <v>2000.04</v>
      </c>
      <c r="I226" s="102">
        <f>TRUNC(E226*G226,2)</f>
        <v>2466.71</v>
      </c>
      <c r="J226" s="114">
        <v>2442.9</v>
      </c>
    </row>
    <row r="227" spans="2:10" s="67" customFormat="1" ht="14.25">
      <c r="B227" s="67" t="s">
        <v>59</v>
      </c>
      <c r="C227" s="67" t="s">
        <v>90</v>
      </c>
      <c r="D227" s="63" t="s">
        <v>49</v>
      </c>
      <c r="E227" s="84">
        <v>0.035</v>
      </c>
      <c r="F227" s="63">
        <f>TRUNC(178.5,2)</f>
        <v>178.5</v>
      </c>
      <c r="G227" s="63">
        <f>TRUNC(E227*F227,2)</f>
        <v>6.24</v>
      </c>
      <c r="H227" s="63"/>
      <c r="I227" s="64"/>
      <c r="J227" s="97"/>
    </row>
    <row r="228" spans="2:10" s="67" customFormat="1" ht="14.25">
      <c r="B228" s="67" t="s">
        <v>60</v>
      </c>
      <c r="C228" s="67" t="s">
        <v>91</v>
      </c>
      <c r="D228" s="63" t="s">
        <v>5</v>
      </c>
      <c r="E228" s="84">
        <v>0.025</v>
      </c>
      <c r="F228" s="63">
        <f>TRUNC(16.42,2)</f>
        <v>16.42</v>
      </c>
      <c r="G228" s="63">
        <f>TRUNC(E228*F228,2)</f>
        <v>0.41</v>
      </c>
      <c r="H228" s="63"/>
      <c r="I228" s="64"/>
      <c r="J228" s="97"/>
    </row>
    <row r="229" spans="2:10" s="67" customFormat="1" ht="14.25">
      <c r="B229" s="67" t="s">
        <v>50</v>
      </c>
      <c r="C229" s="67" t="s">
        <v>92</v>
      </c>
      <c r="D229" s="63" t="s">
        <v>49</v>
      </c>
      <c r="E229" s="84">
        <v>0.05</v>
      </c>
      <c r="F229" s="63">
        <f>TRUNC(57.05,2)</f>
        <v>57.05</v>
      </c>
      <c r="G229" s="63">
        <f>TRUNC(E229*F229,2)</f>
        <v>2.85</v>
      </c>
      <c r="H229" s="63"/>
      <c r="I229" s="64"/>
      <c r="J229" s="97"/>
    </row>
    <row r="230" spans="2:10" s="67" customFormat="1" ht="14.25">
      <c r="B230" s="67" t="s">
        <v>188</v>
      </c>
      <c r="C230" s="67" t="s">
        <v>189</v>
      </c>
      <c r="D230" s="63" t="s">
        <v>6</v>
      </c>
      <c r="E230" s="84">
        <v>0.12875</v>
      </c>
      <c r="F230" s="63">
        <f>TRUNC(15.09,2)</f>
        <v>15.09</v>
      </c>
      <c r="G230" s="63">
        <f>TRUNC(E230*F230,2)</f>
        <v>1.94</v>
      </c>
      <c r="H230" s="63"/>
      <c r="I230" s="64"/>
      <c r="J230" s="97"/>
    </row>
    <row r="231" spans="2:10" s="67" customFormat="1" ht="14.25">
      <c r="B231" s="67" t="s">
        <v>224</v>
      </c>
      <c r="C231" s="67" t="s">
        <v>225</v>
      </c>
      <c r="D231" s="63" t="s">
        <v>6</v>
      </c>
      <c r="E231" s="84">
        <v>0.2575</v>
      </c>
      <c r="F231" s="63">
        <f>TRUNC(20.83,2)</f>
        <v>20.83</v>
      </c>
      <c r="G231" s="63">
        <f>TRUNC(E231*F231,2)</f>
        <v>5.36</v>
      </c>
      <c r="H231" s="63"/>
      <c r="I231" s="64"/>
      <c r="J231" s="97"/>
    </row>
    <row r="232" spans="4:10" s="67" customFormat="1" ht="14.25">
      <c r="D232" s="63"/>
      <c r="E232" s="84" t="s">
        <v>7</v>
      </c>
      <c r="F232" s="63"/>
      <c r="G232" s="63">
        <f>TRUNC(SUM(G227:G231),2)</f>
        <v>16.8</v>
      </c>
      <c r="H232" s="63"/>
      <c r="I232" s="64"/>
      <c r="J232" s="97"/>
    </row>
    <row r="233" spans="1:10" s="99" customFormat="1" ht="42.75">
      <c r="A233" s="99" t="s">
        <v>14</v>
      </c>
      <c r="B233" s="99" t="s">
        <v>226</v>
      </c>
      <c r="C233" s="99" t="s">
        <v>168</v>
      </c>
      <c r="D233" s="99" t="s">
        <v>0</v>
      </c>
      <c r="E233" s="101">
        <v>212.01</v>
      </c>
      <c r="F233" s="100">
        <f>TRUNC(G238,2)</f>
        <v>11.48</v>
      </c>
      <c r="G233" s="101">
        <f>TRUNC(F233*1.2338,2)</f>
        <v>14.16</v>
      </c>
      <c r="H233" s="101">
        <f>TRUNC(F233*E233,2)</f>
        <v>2433.87</v>
      </c>
      <c r="I233" s="102">
        <f>TRUNC(E233*G233,2)</f>
        <v>3002.06</v>
      </c>
      <c r="J233" s="114">
        <v>2834.57</v>
      </c>
    </row>
    <row r="234" spans="2:10" s="67" customFormat="1" ht="14.25">
      <c r="B234" s="67" t="s">
        <v>169</v>
      </c>
      <c r="C234" s="67" t="s">
        <v>119</v>
      </c>
      <c r="D234" s="67" t="s">
        <v>49</v>
      </c>
      <c r="E234" s="63">
        <v>0.0775</v>
      </c>
      <c r="F234" s="68">
        <f>TRUNC(30.53,2)</f>
        <v>30.53</v>
      </c>
      <c r="G234" s="63">
        <f>TRUNC(E234*F234,2)</f>
        <v>2.36</v>
      </c>
      <c r="H234" s="63"/>
      <c r="I234" s="64"/>
      <c r="J234" s="97"/>
    </row>
    <row r="235" spans="2:10" s="67" customFormat="1" ht="14.25">
      <c r="B235" s="67" t="s">
        <v>170</v>
      </c>
      <c r="C235" s="67" t="s">
        <v>123</v>
      </c>
      <c r="D235" s="67" t="s">
        <v>12</v>
      </c>
      <c r="E235" s="63">
        <v>0.5</v>
      </c>
      <c r="F235" s="68">
        <f>TRUNC(0.72,2)</f>
        <v>0.72</v>
      </c>
      <c r="G235" s="63">
        <f>TRUNC(E235*F235,2)</f>
        <v>0.36</v>
      </c>
      <c r="H235" s="63"/>
      <c r="I235" s="64"/>
      <c r="J235" s="97"/>
    </row>
    <row r="236" spans="2:10" s="67" customFormat="1" ht="14.25">
      <c r="B236" s="67" t="s">
        <v>188</v>
      </c>
      <c r="C236" s="67" t="s">
        <v>189</v>
      </c>
      <c r="D236" s="67" t="s">
        <v>6</v>
      </c>
      <c r="E236" s="63">
        <v>0.1545</v>
      </c>
      <c r="F236" s="68">
        <f>TRUNC(15.09,2)</f>
        <v>15.09</v>
      </c>
      <c r="G236" s="63">
        <f>TRUNC(E236*F236,2)</f>
        <v>2.33</v>
      </c>
      <c r="H236" s="63"/>
      <c r="I236" s="64"/>
      <c r="J236" s="97"/>
    </row>
    <row r="237" spans="2:10" s="67" customFormat="1" ht="14.25">
      <c r="B237" s="67" t="s">
        <v>224</v>
      </c>
      <c r="C237" s="67" t="s">
        <v>225</v>
      </c>
      <c r="D237" s="67" t="s">
        <v>6</v>
      </c>
      <c r="E237" s="63">
        <v>0.309</v>
      </c>
      <c r="F237" s="68">
        <f>TRUNC(20.83,2)</f>
        <v>20.83</v>
      </c>
      <c r="G237" s="63">
        <f>TRUNC(E237*F237,2)</f>
        <v>6.43</v>
      </c>
      <c r="H237" s="63"/>
      <c r="I237" s="64"/>
      <c r="J237" s="97"/>
    </row>
    <row r="238" spans="5:10" s="67" customFormat="1" ht="14.25">
      <c r="E238" s="63" t="s">
        <v>7</v>
      </c>
      <c r="F238" s="68"/>
      <c r="G238" s="63">
        <f>TRUNC(SUM(G234:G237),2)</f>
        <v>11.48</v>
      </c>
      <c r="H238" s="63"/>
      <c r="I238" s="64"/>
      <c r="J238" s="97"/>
    </row>
    <row r="239" spans="1:10" s="99" customFormat="1" ht="57">
      <c r="A239" s="99" t="s">
        <v>15</v>
      </c>
      <c r="B239" s="99" t="s">
        <v>227</v>
      </c>
      <c r="C239" s="99" t="s">
        <v>171</v>
      </c>
      <c r="D239" s="99" t="s">
        <v>0</v>
      </c>
      <c r="E239" s="99">
        <v>4.78</v>
      </c>
      <c r="F239" s="100">
        <f>TRUNC(G247,2)</f>
        <v>55.9</v>
      </c>
      <c r="G239" s="101">
        <f>TRUNC(F239*1.2338,2)</f>
        <v>68.96</v>
      </c>
      <c r="H239" s="101">
        <f>TRUNC(F239*E239,2)</f>
        <v>267.2</v>
      </c>
      <c r="I239" s="102">
        <f>TRUNC(E239*G239,2)</f>
        <v>329.62</v>
      </c>
      <c r="J239" s="114">
        <v>303.62</v>
      </c>
    </row>
    <row r="240" spans="2:10" s="67" customFormat="1" ht="14.25">
      <c r="B240" s="67" t="s">
        <v>172</v>
      </c>
      <c r="C240" s="67" t="s">
        <v>120</v>
      </c>
      <c r="D240" s="67" t="s">
        <v>12</v>
      </c>
      <c r="E240" s="67">
        <v>0.24</v>
      </c>
      <c r="F240" s="68">
        <f>TRUNC(5.9,2)</f>
        <v>5.9</v>
      </c>
      <c r="G240" s="63">
        <f aca="true" t="shared" si="10" ref="G240:G246">TRUNC(E240*F240,2)</f>
        <v>1.41</v>
      </c>
      <c r="H240" s="63"/>
      <c r="I240" s="64"/>
      <c r="J240" s="97"/>
    </row>
    <row r="241" spans="2:10" s="67" customFormat="1" ht="14.25">
      <c r="B241" s="67" t="s">
        <v>169</v>
      </c>
      <c r="C241" s="67" t="s">
        <v>119</v>
      </c>
      <c r="D241" s="67" t="s">
        <v>49</v>
      </c>
      <c r="E241" s="67">
        <v>0.0775</v>
      </c>
      <c r="F241" s="68">
        <f>TRUNC(30.53,2)</f>
        <v>30.53</v>
      </c>
      <c r="G241" s="63">
        <f t="shared" si="10"/>
        <v>2.36</v>
      </c>
      <c r="H241" s="63"/>
      <c r="I241" s="64"/>
      <c r="J241" s="97"/>
    </row>
    <row r="242" spans="2:10" s="67" customFormat="1" ht="14.25">
      <c r="B242" s="67" t="s">
        <v>228</v>
      </c>
      <c r="C242" s="67" t="s">
        <v>229</v>
      </c>
      <c r="D242" s="67" t="s">
        <v>6</v>
      </c>
      <c r="E242" s="67">
        <v>0.20600000000000002</v>
      </c>
      <c r="F242" s="68">
        <f>TRUNC(15.88,2)</f>
        <v>15.88</v>
      </c>
      <c r="G242" s="63">
        <f t="shared" si="10"/>
        <v>3.27</v>
      </c>
      <c r="H242" s="63"/>
      <c r="I242" s="64"/>
      <c r="J242" s="97"/>
    </row>
    <row r="243" spans="2:10" s="67" customFormat="1" ht="14.25">
      <c r="B243" s="67" t="s">
        <v>224</v>
      </c>
      <c r="C243" s="67" t="s">
        <v>225</v>
      </c>
      <c r="D243" s="67" t="s">
        <v>6</v>
      </c>
      <c r="E243" s="67">
        <v>2.06</v>
      </c>
      <c r="F243" s="68">
        <f>TRUNC(20.83,2)</f>
        <v>20.83</v>
      </c>
      <c r="G243" s="63">
        <f t="shared" si="10"/>
        <v>42.9</v>
      </c>
      <c r="H243" s="63"/>
      <c r="I243" s="64"/>
      <c r="J243" s="97"/>
    </row>
    <row r="244" spans="2:10" s="67" customFormat="1" ht="28.5">
      <c r="B244" s="67" t="s">
        <v>230</v>
      </c>
      <c r="C244" s="67" t="s">
        <v>231</v>
      </c>
      <c r="D244" s="67" t="s">
        <v>6</v>
      </c>
      <c r="E244" s="67">
        <v>0.20600000000000002</v>
      </c>
      <c r="F244" s="68">
        <f>TRUNC(28.83,2)</f>
        <v>28.83</v>
      </c>
      <c r="G244" s="63">
        <f t="shared" si="10"/>
        <v>5.93</v>
      </c>
      <c r="H244" s="63"/>
      <c r="I244" s="64"/>
      <c r="J244" s="97"/>
    </row>
    <row r="245" spans="2:10" s="67" customFormat="1" ht="14.25">
      <c r="B245" s="67" t="s">
        <v>232</v>
      </c>
      <c r="C245" s="67" t="s">
        <v>233</v>
      </c>
      <c r="D245" s="67" t="s">
        <v>6</v>
      </c>
      <c r="E245" s="67">
        <v>0.03</v>
      </c>
      <c r="F245" s="68">
        <f>TRUNC(0.3187,2)</f>
        <v>0.31</v>
      </c>
      <c r="G245" s="63">
        <f t="shared" si="10"/>
        <v>0</v>
      </c>
      <c r="H245" s="63"/>
      <c r="I245" s="64"/>
      <c r="J245" s="97"/>
    </row>
    <row r="246" spans="2:10" s="67" customFormat="1" ht="14.25">
      <c r="B246" s="67" t="s">
        <v>234</v>
      </c>
      <c r="C246" s="67" t="s">
        <v>235</v>
      </c>
      <c r="D246" s="67" t="s">
        <v>6</v>
      </c>
      <c r="E246" s="67">
        <v>0.07</v>
      </c>
      <c r="F246" s="68">
        <f>TRUNC(0.4687,2)</f>
        <v>0.46</v>
      </c>
      <c r="G246" s="63">
        <f t="shared" si="10"/>
        <v>0.03</v>
      </c>
      <c r="H246" s="63"/>
      <c r="I246" s="64"/>
      <c r="J246" s="97"/>
    </row>
    <row r="247" spans="5:10" s="67" customFormat="1" ht="14.25">
      <c r="E247" s="67" t="s">
        <v>7</v>
      </c>
      <c r="F247" s="68"/>
      <c r="G247" s="63">
        <f>TRUNC(SUM(G240:G246),2)</f>
        <v>55.9</v>
      </c>
      <c r="H247" s="63"/>
      <c r="I247" s="64"/>
      <c r="J247" s="97"/>
    </row>
    <row r="248" spans="1:10" s="99" customFormat="1" ht="42.75">
      <c r="A248" s="99" t="s">
        <v>378</v>
      </c>
      <c r="B248" s="99" t="s">
        <v>415</v>
      </c>
      <c r="C248" s="99" t="s">
        <v>329</v>
      </c>
      <c r="D248" s="99" t="s">
        <v>12</v>
      </c>
      <c r="E248" s="99">
        <v>2</v>
      </c>
      <c r="F248" s="100">
        <f>TRUNC(G252,2)</f>
        <v>32.94</v>
      </c>
      <c r="G248" s="101">
        <f>TRUNC(F248*1.2338,2)</f>
        <v>40.64</v>
      </c>
      <c r="H248" s="101">
        <f>TRUNC(F248*E248,2)</f>
        <v>65.88</v>
      </c>
      <c r="I248" s="102">
        <f>TRUNC(E248*G248,2)</f>
        <v>81.28</v>
      </c>
      <c r="J248" s="114">
        <v>78.92</v>
      </c>
    </row>
    <row r="249" spans="2:10" s="67" customFormat="1" ht="14.25">
      <c r="B249" s="67" t="s">
        <v>330</v>
      </c>
      <c r="C249" s="67" t="s">
        <v>331</v>
      </c>
      <c r="D249" s="67" t="s">
        <v>49</v>
      </c>
      <c r="E249" s="67">
        <v>0.1</v>
      </c>
      <c r="F249" s="68">
        <f>TRUNC(85,2)</f>
        <v>85</v>
      </c>
      <c r="G249" s="63">
        <f>TRUNC(E249*F249,2)</f>
        <v>8.5</v>
      </c>
      <c r="H249" s="63"/>
      <c r="I249" s="64"/>
      <c r="J249" s="97"/>
    </row>
    <row r="250" spans="2:10" s="67" customFormat="1" ht="14.25">
      <c r="B250" s="67" t="s">
        <v>332</v>
      </c>
      <c r="C250" s="67" t="s">
        <v>333</v>
      </c>
      <c r="D250" s="67" t="s">
        <v>12</v>
      </c>
      <c r="E250" s="67">
        <v>0.1</v>
      </c>
      <c r="F250" s="68">
        <f>TRUNC(53.82,2)</f>
        <v>53.82</v>
      </c>
      <c r="G250" s="63">
        <f>TRUNC(E250*F250,2)</f>
        <v>5.38</v>
      </c>
      <c r="H250" s="63"/>
      <c r="I250" s="64"/>
      <c r="J250" s="97"/>
    </row>
    <row r="251" spans="2:10" s="67" customFormat="1" ht="28.5">
      <c r="B251" s="67" t="s">
        <v>416</v>
      </c>
      <c r="C251" s="67" t="s">
        <v>417</v>
      </c>
      <c r="D251" s="67" t="s">
        <v>6</v>
      </c>
      <c r="E251" s="67">
        <v>1.545</v>
      </c>
      <c r="F251" s="68">
        <f>TRUNC(12.34,2)</f>
        <v>12.34</v>
      </c>
      <c r="G251" s="63">
        <f>TRUNC(E251*F251,2)</f>
        <v>19.06</v>
      </c>
      <c r="H251" s="63"/>
      <c r="I251" s="64"/>
      <c r="J251" s="97"/>
    </row>
    <row r="252" spans="5:10" s="67" customFormat="1" ht="14.25">
      <c r="E252" s="67" t="s">
        <v>7</v>
      </c>
      <c r="F252" s="68"/>
      <c r="G252" s="63">
        <f>TRUNC(SUM(G249:G251),2)</f>
        <v>32.94</v>
      </c>
      <c r="H252" s="63"/>
      <c r="I252" s="64"/>
      <c r="J252" s="97"/>
    </row>
    <row r="253" spans="1:10" s="99" customFormat="1" ht="71.25">
      <c r="A253" s="99" t="s">
        <v>379</v>
      </c>
      <c r="B253" s="99" t="s">
        <v>418</v>
      </c>
      <c r="C253" s="99" t="s">
        <v>368</v>
      </c>
      <c r="D253" s="99" t="s">
        <v>0</v>
      </c>
      <c r="E253" s="99">
        <v>3.6</v>
      </c>
      <c r="F253" s="100">
        <f>TRUNC(G259,2)</f>
        <v>15.22</v>
      </c>
      <c r="G253" s="101">
        <f>TRUNC(F253*1.2338,2)</f>
        <v>18.77</v>
      </c>
      <c r="H253" s="101">
        <f>TRUNC(F253*E253,2)</f>
        <v>54.79</v>
      </c>
      <c r="I253" s="102">
        <f>TRUNC(E253*G253,2)</f>
        <v>67.57</v>
      </c>
      <c r="J253" s="114">
        <v>64.72</v>
      </c>
    </row>
    <row r="254" spans="2:10" s="67" customFormat="1" ht="14.25">
      <c r="B254" s="67" t="s">
        <v>363</v>
      </c>
      <c r="C254" s="67" t="s">
        <v>364</v>
      </c>
      <c r="D254" s="67" t="s">
        <v>12</v>
      </c>
      <c r="E254" s="67">
        <v>0.5</v>
      </c>
      <c r="F254" s="68">
        <f>TRUNC(0.69,2)</f>
        <v>0.69</v>
      </c>
      <c r="G254" s="63">
        <f>TRUNC(E254*F254,2)</f>
        <v>0.34</v>
      </c>
      <c r="H254" s="63"/>
      <c r="I254" s="64"/>
      <c r="J254" s="97"/>
    </row>
    <row r="255" spans="2:10" s="67" customFormat="1" ht="14.25">
      <c r="B255" s="67" t="s">
        <v>365</v>
      </c>
      <c r="C255" s="67" t="s">
        <v>366</v>
      </c>
      <c r="D255" s="67" t="s">
        <v>49</v>
      </c>
      <c r="E255" s="67">
        <v>0.04</v>
      </c>
      <c r="F255" s="68">
        <f>TRUNC(14.51,2)</f>
        <v>14.51</v>
      </c>
      <c r="G255" s="63">
        <f>TRUNC(E255*F255,2)</f>
        <v>0.58</v>
      </c>
      <c r="H255" s="63"/>
      <c r="I255" s="64"/>
      <c r="J255" s="97"/>
    </row>
    <row r="256" spans="2:10" s="67" customFormat="1" ht="28.5">
      <c r="B256" s="67" t="s">
        <v>369</v>
      </c>
      <c r="C256" s="67" t="s">
        <v>370</v>
      </c>
      <c r="D256" s="67" t="s">
        <v>12</v>
      </c>
      <c r="E256" s="67">
        <v>0.012</v>
      </c>
      <c r="F256" s="68">
        <f>TRUNC(341.42,2)</f>
        <v>341.42</v>
      </c>
      <c r="G256" s="63">
        <f>TRUNC(E256*F256,2)</f>
        <v>4.09</v>
      </c>
      <c r="H256" s="63"/>
      <c r="I256" s="64"/>
      <c r="J256" s="97"/>
    </row>
    <row r="257" spans="2:10" s="67" customFormat="1" ht="14.25">
      <c r="B257" s="67" t="s">
        <v>188</v>
      </c>
      <c r="C257" s="67" t="s">
        <v>189</v>
      </c>
      <c r="D257" s="67" t="s">
        <v>6</v>
      </c>
      <c r="E257" s="67">
        <v>0.18025</v>
      </c>
      <c r="F257" s="68">
        <f>TRUNC(15.09,2)</f>
        <v>15.09</v>
      </c>
      <c r="G257" s="63">
        <f>TRUNC(E257*F257,2)</f>
        <v>2.71</v>
      </c>
      <c r="H257" s="63"/>
      <c r="I257" s="64"/>
      <c r="J257" s="97"/>
    </row>
    <row r="258" spans="2:10" s="67" customFormat="1" ht="14.25">
      <c r="B258" s="67" t="s">
        <v>224</v>
      </c>
      <c r="C258" s="67" t="s">
        <v>225</v>
      </c>
      <c r="D258" s="67" t="s">
        <v>6</v>
      </c>
      <c r="E258" s="67">
        <v>0.3605</v>
      </c>
      <c r="F258" s="68">
        <f>TRUNC(20.83,2)</f>
        <v>20.83</v>
      </c>
      <c r="G258" s="63">
        <f>TRUNC(E258*F258,2)</f>
        <v>7.5</v>
      </c>
      <c r="H258" s="63"/>
      <c r="I258" s="64"/>
      <c r="J258" s="97"/>
    </row>
    <row r="259" spans="5:10" s="67" customFormat="1" ht="14.25">
      <c r="E259" s="67" t="s">
        <v>7</v>
      </c>
      <c r="F259" s="68"/>
      <c r="G259" s="63">
        <f>TRUNC(SUM(G254:G258),2)</f>
        <v>15.22</v>
      </c>
      <c r="H259" s="63"/>
      <c r="I259" s="64"/>
      <c r="J259" s="97"/>
    </row>
    <row r="260" spans="1:14" s="99" customFormat="1" ht="72">
      <c r="A260" s="99" t="s">
        <v>637</v>
      </c>
      <c r="B260" s="99" t="s">
        <v>418</v>
      </c>
      <c r="C260" s="99" t="s">
        <v>928</v>
      </c>
      <c r="D260" s="99" t="s">
        <v>0</v>
      </c>
      <c r="E260" s="99">
        <v>91.54</v>
      </c>
      <c r="F260" s="100">
        <f>TRUNC(G266,2)</f>
        <v>15.22</v>
      </c>
      <c r="G260" s="101">
        <f>TRUNC(F260*1.2338,2)</f>
        <v>18.77</v>
      </c>
      <c r="H260" s="101">
        <f>TRUNC(F260*E260,2)</f>
        <v>1393.23</v>
      </c>
      <c r="I260" s="102">
        <f>TRUNC(E260*G260,2)</f>
        <v>1718.2</v>
      </c>
      <c r="J260" s="114">
        <v>1645.88</v>
      </c>
      <c r="K260" s="99">
        <v>21</v>
      </c>
      <c r="L260" s="99">
        <f>E260/21</f>
        <v>4.35904761904762</v>
      </c>
      <c r="M260" s="99">
        <f>L260*3</f>
        <v>13.07714285714286</v>
      </c>
      <c r="N260" s="99">
        <f>M260+E260</f>
        <v>104.61714285714287</v>
      </c>
    </row>
    <row r="261" spans="2:10" s="67" customFormat="1" ht="14.25">
      <c r="B261" s="67" t="s">
        <v>363</v>
      </c>
      <c r="C261" s="67" t="s">
        <v>364</v>
      </c>
      <c r="D261" s="67" t="s">
        <v>12</v>
      </c>
      <c r="E261" s="67">
        <v>0.5</v>
      </c>
      <c r="F261" s="68">
        <f>TRUNC(0.69,2)</f>
        <v>0.69</v>
      </c>
      <c r="G261" s="63">
        <f>TRUNC(E261*F261,2)</f>
        <v>0.34</v>
      </c>
      <c r="H261" s="63"/>
      <c r="I261" s="64"/>
      <c r="J261" s="97"/>
    </row>
    <row r="262" spans="2:10" s="67" customFormat="1" ht="14.25">
      <c r="B262" s="67" t="s">
        <v>365</v>
      </c>
      <c r="C262" s="67" t="s">
        <v>366</v>
      </c>
      <c r="D262" s="67" t="s">
        <v>49</v>
      </c>
      <c r="E262" s="67">
        <v>0.04</v>
      </c>
      <c r="F262" s="68">
        <f>TRUNC(14.51,2)</f>
        <v>14.51</v>
      </c>
      <c r="G262" s="63">
        <f>TRUNC(E262*F262,2)</f>
        <v>0.58</v>
      </c>
      <c r="H262" s="63"/>
      <c r="I262" s="64"/>
      <c r="J262" s="97"/>
    </row>
    <row r="263" spans="2:10" s="67" customFormat="1" ht="28.5">
      <c r="B263" s="67" t="s">
        <v>369</v>
      </c>
      <c r="C263" s="67" t="s">
        <v>370</v>
      </c>
      <c r="D263" s="67" t="s">
        <v>12</v>
      </c>
      <c r="E263" s="67">
        <v>0.012</v>
      </c>
      <c r="F263" s="68">
        <f>TRUNC(341.42,2)</f>
        <v>341.42</v>
      </c>
      <c r="G263" s="63">
        <f>TRUNC(E263*F263,2)</f>
        <v>4.09</v>
      </c>
      <c r="H263" s="63"/>
      <c r="I263" s="64"/>
      <c r="J263" s="97"/>
    </row>
    <row r="264" spans="2:10" s="67" customFormat="1" ht="14.25">
      <c r="B264" s="67" t="s">
        <v>188</v>
      </c>
      <c r="C264" s="67" t="s">
        <v>189</v>
      </c>
      <c r="D264" s="67" t="s">
        <v>6</v>
      </c>
      <c r="E264" s="67">
        <v>0.18025</v>
      </c>
      <c r="F264" s="68">
        <f>TRUNC(15.09,2)</f>
        <v>15.09</v>
      </c>
      <c r="G264" s="63">
        <f>TRUNC(E264*F264,2)</f>
        <v>2.71</v>
      </c>
      <c r="H264" s="63"/>
      <c r="I264" s="64"/>
      <c r="J264" s="97"/>
    </row>
    <row r="265" spans="2:10" s="67" customFormat="1" ht="14.25">
      <c r="B265" s="67" t="s">
        <v>224</v>
      </c>
      <c r="C265" s="67" t="s">
        <v>225</v>
      </c>
      <c r="D265" s="67" t="s">
        <v>6</v>
      </c>
      <c r="E265" s="67">
        <v>0.3605</v>
      </c>
      <c r="F265" s="68">
        <f>TRUNC(20.83,2)</f>
        <v>20.83</v>
      </c>
      <c r="G265" s="63">
        <f>TRUNC(E265*F265,2)</f>
        <v>7.5</v>
      </c>
      <c r="H265" s="63"/>
      <c r="I265" s="64"/>
      <c r="J265" s="97"/>
    </row>
    <row r="266" spans="5:10" s="67" customFormat="1" ht="14.25">
      <c r="E266" s="67" t="s">
        <v>7</v>
      </c>
      <c r="F266" s="68"/>
      <c r="G266" s="63">
        <f>TRUNC(SUM(G261:G265),2)</f>
        <v>15.22</v>
      </c>
      <c r="H266" s="63"/>
      <c r="I266" s="64"/>
      <c r="J266" s="97"/>
    </row>
    <row r="267" spans="1:10" s="44" customFormat="1" ht="15.75">
      <c r="A267" s="85" t="s">
        <v>53</v>
      </c>
      <c r="B267" s="86"/>
      <c r="C267" s="87"/>
      <c r="D267" s="86"/>
      <c r="E267" s="86"/>
      <c r="F267" s="86" t="s">
        <v>58</v>
      </c>
      <c r="G267" s="86"/>
      <c r="H267" s="88">
        <f>H239+H233+H226+H248+H253+H260</f>
        <v>6215.01</v>
      </c>
      <c r="I267" s="88">
        <f>I239+I233+I226+I248+I253+I260</f>
        <v>7665.439999999999</v>
      </c>
      <c r="J267" s="96">
        <v>7370.610000000001</v>
      </c>
    </row>
    <row r="268" spans="1:10" s="43" customFormat="1" ht="15.75">
      <c r="A268" s="43" t="s">
        <v>23</v>
      </c>
      <c r="B268" s="51"/>
      <c r="C268" s="52" t="s">
        <v>308</v>
      </c>
      <c r="D268" s="52"/>
      <c r="E268" s="52"/>
      <c r="F268" s="52"/>
      <c r="G268" s="52"/>
      <c r="H268" s="52"/>
      <c r="I268" s="50"/>
      <c r="J268" s="94"/>
    </row>
    <row r="269" spans="1:10" s="99" customFormat="1" ht="28.5">
      <c r="A269" s="99" t="s">
        <v>176</v>
      </c>
      <c r="B269" s="99" t="s">
        <v>419</v>
      </c>
      <c r="C269" s="99" t="s">
        <v>244</v>
      </c>
      <c r="D269" s="99" t="s">
        <v>12</v>
      </c>
      <c r="E269" s="99">
        <v>2</v>
      </c>
      <c r="F269" s="100">
        <f>TRUNC(G271,2)</f>
        <v>598.72</v>
      </c>
      <c r="G269" s="101">
        <f>TRUNC(F269*1.2338,2)</f>
        <v>738.7</v>
      </c>
      <c r="H269" s="101">
        <f>TRUNC(F269*E269,2)</f>
        <v>1197.44</v>
      </c>
      <c r="I269" s="102">
        <f>TRUNC(E269*G269,2)</f>
        <v>1477.4</v>
      </c>
      <c r="J269" s="114">
        <v>1553.9</v>
      </c>
    </row>
    <row r="270" spans="2:10" s="67" customFormat="1" ht="14.25">
      <c r="B270" s="67" t="s">
        <v>245</v>
      </c>
      <c r="C270" s="67" t="s">
        <v>246</v>
      </c>
      <c r="D270" s="67" t="s">
        <v>12</v>
      </c>
      <c r="E270" s="67">
        <v>1</v>
      </c>
      <c r="F270" s="68">
        <f>TRUNC(598.72,2)</f>
        <v>598.72</v>
      </c>
      <c r="G270" s="63">
        <f>TRUNC(E270*F270,2)</f>
        <v>598.72</v>
      </c>
      <c r="H270" s="63"/>
      <c r="I270" s="64"/>
      <c r="J270" s="97"/>
    </row>
    <row r="271" spans="5:10" s="67" customFormat="1" ht="14.25">
      <c r="E271" s="67" t="s">
        <v>7</v>
      </c>
      <c r="F271" s="68"/>
      <c r="G271" s="63">
        <f>TRUNC(SUM(G270:G270),2)</f>
        <v>598.72</v>
      </c>
      <c r="H271" s="63"/>
      <c r="I271" s="64"/>
      <c r="J271" s="97"/>
    </row>
    <row r="272" spans="1:10" s="99" customFormat="1" ht="57">
      <c r="A272" s="99" t="s">
        <v>177</v>
      </c>
      <c r="B272" s="99" t="s">
        <v>420</v>
      </c>
      <c r="C272" s="99" t="s">
        <v>248</v>
      </c>
      <c r="D272" s="99" t="s">
        <v>12</v>
      </c>
      <c r="E272" s="99">
        <v>2</v>
      </c>
      <c r="F272" s="100">
        <f>TRUNC(G274,2)</f>
        <v>127.1</v>
      </c>
      <c r="G272" s="101">
        <f>TRUNC(F272*1.2338,2)</f>
        <v>156.81</v>
      </c>
      <c r="H272" s="101">
        <f>TRUNC(F272*E272,2)</f>
        <v>254.2</v>
      </c>
      <c r="I272" s="102">
        <f>TRUNC(E272*G272,2)</f>
        <v>313.62</v>
      </c>
      <c r="J272" s="114">
        <v>286.02</v>
      </c>
    </row>
    <row r="273" spans="2:10" s="67" customFormat="1" ht="28.5">
      <c r="B273" s="67" t="s">
        <v>416</v>
      </c>
      <c r="C273" s="67" t="s">
        <v>417</v>
      </c>
      <c r="D273" s="67" t="s">
        <v>6</v>
      </c>
      <c r="E273" s="67">
        <v>10.3</v>
      </c>
      <c r="F273" s="68">
        <f>TRUNC(12.34,2)</f>
        <v>12.34</v>
      </c>
      <c r="G273" s="63">
        <f>TRUNC(E273*F273,2)</f>
        <v>127.1</v>
      </c>
      <c r="H273" s="63"/>
      <c r="I273" s="64"/>
      <c r="J273" s="97"/>
    </row>
    <row r="274" spans="5:10" s="67" customFormat="1" ht="14.25">
      <c r="E274" s="67" t="s">
        <v>7</v>
      </c>
      <c r="F274" s="68"/>
      <c r="G274" s="63">
        <f>TRUNC(SUM(G273:G273),2)</f>
        <v>127.1</v>
      </c>
      <c r="H274" s="63"/>
      <c r="I274" s="64"/>
      <c r="J274" s="97"/>
    </row>
    <row r="275" spans="1:10" s="99" customFormat="1" ht="28.5">
      <c r="A275" s="99" t="s">
        <v>493</v>
      </c>
      <c r="B275" s="99" t="s">
        <v>421</v>
      </c>
      <c r="C275" s="99" t="s">
        <v>250</v>
      </c>
      <c r="D275" s="99" t="s">
        <v>12</v>
      </c>
      <c r="E275" s="99">
        <v>6</v>
      </c>
      <c r="F275" s="100">
        <f>TRUNC(G278,2)</f>
        <v>45.82</v>
      </c>
      <c r="G275" s="101">
        <f>TRUNC(F275*1.2338,2)</f>
        <v>56.53</v>
      </c>
      <c r="H275" s="101">
        <f>TRUNC(F275*E275,2)</f>
        <v>274.92</v>
      </c>
      <c r="I275" s="102">
        <f>TRUNC(E275*G275,2)</f>
        <v>339.18</v>
      </c>
      <c r="J275" s="114">
        <v>352.2</v>
      </c>
    </row>
    <row r="276" spans="2:10" s="67" customFormat="1" ht="14.25">
      <c r="B276" s="67" t="s">
        <v>251</v>
      </c>
      <c r="C276" s="67" t="s">
        <v>252</v>
      </c>
      <c r="D276" s="67" t="s">
        <v>12</v>
      </c>
      <c r="E276" s="67">
        <v>1</v>
      </c>
      <c r="F276" s="68">
        <f>TRUNC(41.53,2)</f>
        <v>41.53</v>
      </c>
      <c r="G276" s="63">
        <f>TRUNC(E276*F276,2)</f>
        <v>41.53</v>
      </c>
      <c r="H276" s="63"/>
      <c r="I276" s="64"/>
      <c r="J276" s="97"/>
    </row>
    <row r="277" spans="2:10" s="67" customFormat="1" ht="14.25">
      <c r="B277" s="67" t="s">
        <v>194</v>
      </c>
      <c r="C277" s="67" t="s">
        <v>195</v>
      </c>
      <c r="D277" s="67" t="s">
        <v>6</v>
      </c>
      <c r="E277" s="67">
        <v>0.20600000000000002</v>
      </c>
      <c r="F277" s="68">
        <f>TRUNC(20.83,2)</f>
        <v>20.83</v>
      </c>
      <c r="G277" s="63">
        <f>TRUNC(E277*F277,2)</f>
        <v>4.29</v>
      </c>
      <c r="H277" s="63"/>
      <c r="I277" s="64"/>
      <c r="J277" s="97"/>
    </row>
    <row r="278" spans="5:10" s="67" customFormat="1" ht="14.25">
      <c r="E278" s="67" t="s">
        <v>7</v>
      </c>
      <c r="F278" s="68"/>
      <c r="G278" s="63">
        <f>TRUNC(SUM(G276:G277),2)</f>
        <v>45.82</v>
      </c>
      <c r="H278" s="63"/>
      <c r="I278" s="64"/>
      <c r="J278" s="97"/>
    </row>
    <row r="279" spans="1:10" s="99" customFormat="1" ht="71.25">
      <c r="A279" s="99" t="s">
        <v>312</v>
      </c>
      <c r="B279" s="99" t="s">
        <v>422</v>
      </c>
      <c r="C279" s="99" t="s">
        <v>254</v>
      </c>
      <c r="D279" s="99" t="s">
        <v>12</v>
      </c>
      <c r="E279" s="99">
        <v>6</v>
      </c>
      <c r="F279" s="100">
        <f>TRUNC(G283,2)</f>
        <v>211.73</v>
      </c>
      <c r="G279" s="101">
        <f>TRUNC(F279*1.2338,2)</f>
        <v>261.23</v>
      </c>
      <c r="H279" s="101">
        <f>TRUNC(F279*E279,2)</f>
        <v>1270.38</v>
      </c>
      <c r="I279" s="102">
        <f>TRUNC(E279*G279,2)</f>
        <v>1567.38</v>
      </c>
      <c r="J279" s="114">
        <v>1571.76</v>
      </c>
    </row>
    <row r="280" spans="2:10" s="67" customFormat="1" ht="28.5">
      <c r="B280" s="67" t="s">
        <v>255</v>
      </c>
      <c r="C280" s="67" t="s">
        <v>256</v>
      </c>
      <c r="D280" s="67" t="s">
        <v>12</v>
      </c>
      <c r="E280" s="67">
        <v>1</v>
      </c>
      <c r="F280" s="68">
        <f>TRUNC(137.7573,2)</f>
        <v>137.75</v>
      </c>
      <c r="G280" s="63">
        <f>TRUNC(E280*F280,2)</f>
        <v>137.75</v>
      </c>
      <c r="H280" s="63"/>
      <c r="I280" s="64"/>
      <c r="J280" s="97"/>
    </row>
    <row r="281" spans="2:10" s="67" customFormat="1" ht="14.25">
      <c r="B281" s="67" t="s">
        <v>188</v>
      </c>
      <c r="C281" s="67" t="s">
        <v>189</v>
      </c>
      <c r="D281" s="67" t="s">
        <v>6</v>
      </c>
      <c r="E281" s="67">
        <v>2.06</v>
      </c>
      <c r="F281" s="68">
        <f>TRUNC(15.09,2)</f>
        <v>15.09</v>
      </c>
      <c r="G281" s="63">
        <f>TRUNC(E281*F281,2)</f>
        <v>31.08</v>
      </c>
      <c r="H281" s="63"/>
      <c r="I281" s="64"/>
      <c r="J281" s="97"/>
    </row>
    <row r="282" spans="2:10" s="67" customFormat="1" ht="14.25">
      <c r="B282" s="67" t="s">
        <v>194</v>
      </c>
      <c r="C282" s="67" t="s">
        <v>195</v>
      </c>
      <c r="D282" s="67" t="s">
        <v>6</v>
      </c>
      <c r="E282" s="67">
        <v>2.06</v>
      </c>
      <c r="F282" s="68">
        <f>TRUNC(20.83,2)</f>
        <v>20.83</v>
      </c>
      <c r="G282" s="63">
        <f>TRUNC(E282*F282,2)</f>
        <v>42.9</v>
      </c>
      <c r="H282" s="63"/>
      <c r="I282" s="64"/>
      <c r="J282" s="97"/>
    </row>
    <row r="283" spans="5:10" s="67" customFormat="1" ht="14.25">
      <c r="E283" s="67" t="s">
        <v>7</v>
      </c>
      <c r="F283" s="68"/>
      <c r="G283" s="63">
        <f>TRUNC(SUM(G280:G282),2)</f>
        <v>211.73</v>
      </c>
      <c r="H283" s="63"/>
      <c r="I283" s="64"/>
      <c r="J283" s="97"/>
    </row>
    <row r="284" spans="1:10" s="99" customFormat="1" ht="42.75">
      <c r="A284" s="99" t="s">
        <v>313</v>
      </c>
      <c r="B284" s="99" t="s">
        <v>423</v>
      </c>
      <c r="C284" s="99" t="s">
        <v>258</v>
      </c>
      <c r="D284" s="99" t="s">
        <v>12</v>
      </c>
      <c r="E284" s="99">
        <v>2</v>
      </c>
      <c r="F284" s="100">
        <f>TRUNC(G288,2)</f>
        <v>35.61</v>
      </c>
      <c r="G284" s="101">
        <f>TRUNC(F284*1.2338,2)</f>
        <v>43.93</v>
      </c>
      <c r="H284" s="101">
        <f>TRUNC(F284*E284,2)</f>
        <v>71.22</v>
      </c>
      <c r="I284" s="102">
        <f>TRUNC(E284*G284,2)</f>
        <v>87.86</v>
      </c>
      <c r="J284" s="114">
        <v>87.94</v>
      </c>
    </row>
    <row r="285" spans="2:10" s="67" customFormat="1" ht="14.25">
      <c r="B285" s="67" t="s">
        <v>259</v>
      </c>
      <c r="C285" s="67" t="s">
        <v>260</v>
      </c>
      <c r="D285" s="67" t="s">
        <v>12</v>
      </c>
      <c r="E285" s="67">
        <v>1</v>
      </c>
      <c r="F285" s="68">
        <f>TRUNC(22.68,2)</f>
        <v>22.68</v>
      </c>
      <c r="G285" s="63">
        <f>TRUNC(E285*F285,2)</f>
        <v>22.68</v>
      </c>
      <c r="H285" s="63"/>
      <c r="I285" s="64"/>
      <c r="J285" s="97"/>
    </row>
    <row r="286" spans="2:10" s="67" customFormat="1" ht="14.25">
      <c r="B286" s="67" t="s">
        <v>188</v>
      </c>
      <c r="C286" s="67" t="s">
        <v>189</v>
      </c>
      <c r="D286" s="67" t="s">
        <v>6</v>
      </c>
      <c r="E286" s="67">
        <v>0.3605</v>
      </c>
      <c r="F286" s="68">
        <f>TRUNC(15.09,2)</f>
        <v>15.09</v>
      </c>
      <c r="G286" s="63">
        <f>TRUNC(E286*F286,2)</f>
        <v>5.43</v>
      </c>
      <c r="H286" s="63"/>
      <c r="I286" s="64"/>
      <c r="J286" s="97"/>
    </row>
    <row r="287" spans="2:10" s="67" customFormat="1" ht="14.25">
      <c r="B287" s="67" t="s">
        <v>194</v>
      </c>
      <c r="C287" s="67" t="s">
        <v>195</v>
      </c>
      <c r="D287" s="67" t="s">
        <v>6</v>
      </c>
      <c r="E287" s="67">
        <v>0.3605</v>
      </c>
      <c r="F287" s="68">
        <f>TRUNC(20.83,2)</f>
        <v>20.83</v>
      </c>
      <c r="G287" s="63">
        <f>TRUNC(E287*F287,2)</f>
        <v>7.5</v>
      </c>
      <c r="H287" s="63"/>
      <c r="I287" s="64"/>
      <c r="J287" s="97"/>
    </row>
    <row r="288" spans="5:10" s="67" customFormat="1" ht="14.25">
      <c r="E288" s="67" t="s">
        <v>7</v>
      </c>
      <c r="F288" s="68"/>
      <c r="G288" s="63">
        <f>TRUNC(SUM(G285:G287),2)</f>
        <v>35.61</v>
      </c>
      <c r="H288" s="63"/>
      <c r="I288" s="64"/>
      <c r="J288" s="97"/>
    </row>
    <row r="289" spans="1:10" s="99" customFormat="1" ht="57">
      <c r="A289" s="99" t="s">
        <v>314</v>
      </c>
      <c r="B289" s="99" t="s">
        <v>424</v>
      </c>
      <c r="C289" s="99" t="s">
        <v>387</v>
      </c>
      <c r="D289" s="99" t="s">
        <v>12</v>
      </c>
      <c r="E289" s="99">
        <v>1</v>
      </c>
      <c r="F289" s="100">
        <f>TRUNC(G293,2)</f>
        <v>275.35</v>
      </c>
      <c r="G289" s="101">
        <f>TRUNC(F289*1.2338,2)</f>
        <v>339.72</v>
      </c>
      <c r="H289" s="101">
        <f>TRUNC(F289*E289,2)</f>
        <v>275.35</v>
      </c>
      <c r="I289" s="102">
        <f>TRUNC(E289*G289,2)</f>
        <v>339.72</v>
      </c>
      <c r="J289" s="114">
        <v>340.03</v>
      </c>
    </row>
    <row r="290" spans="2:10" s="67" customFormat="1" ht="28.5">
      <c r="B290" s="67" t="s">
        <v>388</v>
      </c>
      <c r="C290" s="67" t="s">
        <v>389</v>
      </c>
      <c r="D290" s="67" t="s">
        <v>12</v>
      </c>
      <c r="E290" s="67">
        <v>1</v>
      </c>
      <c r="F290" s="68">
        <f>TRUNC(175.47,2)</f>
        <v>175.47</v>
      </c>
      <c r="G290" s="63">
        <f>TRUNC(E290*F290,2)</f>
        <v>175.47</v>
      </c>
      <c r="H290" s="63"/>
      <c r="I290" s="64"/>
      <c r="J290" s="97"/>
    </row>
    <row r="291" spans="2:10" s="67" customFormat="1" ht="14.25">
      <c r="B291" s="67" t="s">
        <v>188</v>
      </c>
      <c r="C291" s="67" t="s">
        <v>189</v>
      </c>
      <c r="D291" s="67" t="s">
        <v>6</v>
      </c>
      <c r="E291" s="67">
        <v>2.781</v>
      </c>
      <c r="F291" s="68">
        <f>TRUNC(15.09,2)</f>
        <v>15.09</v>
      </c>
      <c r="G291" s="63">
        <f>TRUNC(E291*F291,2)</f>
        <v>41.96</v>
      </c>
      <c r="H291" s="63"/>
      <c r="I291" s="64"/>
      <c r="J291" s="97"/>
    </row>
    <row r="292" spans="2:10" s="67" customFormat="1" ht="14.25">
      <c r="B292" s="67" t="s">
        <v>194</v>
      </c>
      <c r="C292" s="67" t="s">
        <v>195</v>
      </c>
      <c r="D292" s="67" t="s">
        <v>6</v>
      </c>
      <c r="E292" s="67">
        <v>2.781</v>
      </c>
      <c r="F292" s="68">
        <f>TRUNC(20.83,2)</f>
        <v>20.83</v>
      </c>
      <c r="G292" s="63">
        <f>TRUNC(E292*F292,2)</f>
        <v>57.92</v>
      </c>
      <c r="H292" s="63"/>
      <c r="I292" s="64"/>
      <c r="J292" s="97"/>
    </row>
    <row r="293" spans="5:10" s="67" customFormat="1" ht="14.25">
      <c r="E293" s="67" t="s">
        <v>7</v>
      </c>
      <c r="F293" s="68"/>
      <c r="G293" s="63">
        <f>TRUNC(SUM(G290:G292),2)</f>
        <v>275.35</v>
      </c>
      <c r="H293" s="63"/>
      <c r="I293" s="64"/>
      <c r="J293" s="97"/>
    </row>
    <row r="294" spans="1:10" s="99" customFormat="1" ht="57">
      <c r="A294" s="99" t="s">
        <v>315</v>
      </c>
      <c r="B294" s="99" t="s">
        <v>425</v>
      </c>
      <c r="C294" s="99" t="s">
        <v>261</v>
      </c>
      <c r="D294" s="99" t="s">
        <v>3</v>
      </c>
      <c r="E294" s="99">
        <v>155.57</v>
      </c>
      <c r="F294" s="100">
        <f>TRUNC(G299,2)</f>
        <v>3.75</v>
      </c>
      <c r="G294" s="101">
        <f>TRUNC(F294*1.2338,2)</f>
        <v>4.62</v>
      </c>
      <c r="H294" s="101">
        <f>TRUNC(F294*E294,2)</f>
        <v>583.38</v>
      </c>
      <c r="I294" s="102">
        <f>TRUNC(E294*G294,2)</f>
        <v>718.73</v>
      </c>
      <c r="J294" s="114">
        <v>698.5</v>
      </c>
    </row>
    <row r="295" spans="2:10" s="67" customFormat="1" ht="14.25">
      <c r="B295" s="67" t="s">
        <v>145</v>
      </c>
      <c r="C295" s="67" t="s">
        <v>146</v>
      </c>
      <c r="D295" s="67" t="s">
        <v>12</v>
      </c>
      <c r="E295" s="67">
        <v>0.0014</v>
      </c>
      <c r="F295" s="68">
        <f>TRUNC(8.56,2)</f>
        <v>8.56</v>
      </c>
      <c r="G295" s="63">
        <f>TRUNC(E295*F295,2)</f>
        <v>0.01</v>
      </c>
      <c r="H295" s="63"/>
      <c r="I295" s="64"/>
      <c r="J295" s="97"/>
    </row>
    <row r="296" spans="2:10" s="67" customFormat="1" ht="14.25">
      <c r="B296" s="67" t="s">
        <v>263</v>
      </c>
      <c r="C296" s="67" t="s">
        <v>264</v>
      </c>
      <c r="D296" s="67" t="s">
        <v>3</v>
      </c>
      <c r="E296" s="67">
        <v>1</v>
      </c>
      <c r="F296" s="68">
        <f>TRUNC(1.5,2)</f>
        <v>1.5</v>
      </c>
      <c r="G296" s="63">
        <f>TRUNC(E296*F296,2)</f>
        <v>1.5</v>
      </c>
      <c r="H296" s="63"/>
      <c r="I296" s="64"/>
      <c r="J296" s="97"/>
    </row>
    <row r="297" spans="2:10" s="67" customFormat="1" ht="14.25">
      <c r="B297" s="67" t="s">
        <v>188</v>
      </c>
      <c r="C297" s="67" t="s">
        <v>189</v>
      </c>
      <c r="D297" s="67" t="s">
        <v>6</v>
      </c>
      <c r="E297" s="67">
        <v>0.06283</v>
      </c>
      <c r="F297" s="68">
        <f>TRUNC(15.09,2)</f>
        <v>15.09</v>
      </c>
      <c r="G297" s="63">
        <f>TRUNC(E297*F297,2)</f>
        <v>0.94</v>
      </c>
      <c r="H297" s="63"/>
      <c r="I297" s="64"/>
      <c r="J297" s="97"/>
    </row>
    <row r="298" spans="2:10" s="67" customFormat="1" ht="14.25">
      <c r="B298" s="67" t="s">
        <v>194</v>
      </c>
      <c r="C298" s="67" t="s">
        <v>195</v>
      </c>
      <c r="D298" s="67" t="s">
        <v>6</v>
      </c>
      <c r="E298" s="67">
        <v>0.06283</v>
      </c>
      <c r="F298" s="68">
        <f>TRUNC(20.83,2)</f>
        <v>20.83</v>
      </c>
      <c r="G298" s="63">
        <f>TRUNC(E298*F298,2)</f>
        <v>1.3</v>
      </c>
      <c r="H298" s="63"/>
      <c r="I298" s="64"/>
      <c r="J298" s="97"/>
    </row>
    <row r="299" spans="5:10" s="67" customFormat="1" ht="14.25">
      <c r="E299" s="67" t="s">
        <v>7</v>
      </c>
      <c r="F299" s="68"/>
      <c r="G299" s="63">
        <f>TRUNC(SUM(G295:G298),2)</f>
        <v>3.75</v>
      </c>
      <c r="H299" s="63"/>
      <c r="I299" s="64"/>
      <c r="J299" s="97"/>
    </row>
    <row r="300" spans="1:10" s="99" customFormat="1" ht="57">
      <c r="A300" s="99" t="s">
        <v>316</v>
      </c>
      <c r="B300" s="99" t="s">
        <v>426</v>
      </c>
      <c r="C300" s="99" t="s">
        <v>266</v>
      </c>
      <c r="D300" s="99" t="s">
        <v>12</v>
      </c>
      <c r="E300" s="99">
        <v>1</v>
      </c>
      <c r="F300" s="100">
        <f>TRUNC(G318,2)</f>
        <v>932.39</v>
      </c>
      <c r="G300" s="101">
        <f>TRUNC(F300*1.2338,2)</f>
        <v>1150.38</v>
      </c>
      <c r="H300" s="101">
        <f>TRUNC(F300*E300,2)</f>
        <v>932.39</v>
      </c>
      <c r="I300" s="102">
        <f>TRUNC(E300*G300,2)</f>
        <v>1150.38</v>
      </c>
      <c r="J300" s="114">
        <v>1089.99</v>
      </c>
    </row>
    <row r="301" spans="2:10" s="67" customFormat="1" ht="14.25">
      <c r="B301" s="67" t="s">
        <v>277</v>
      </c>
      <c r="C301" s="67" t="s">
        <v>278</v>
      </c>
      <c r="D301" s="67" t="s">
        <v>12</v>
      </c>
      <c r="E301" s="67">
        <v>2</v>
      </c>
      <c r="F301" s="68">
        <f>TRUNC(0.62,2)</f>
        <v>0.62</v>
      </c>
      <c r="G301" s="63">
        <f aca="true" t="shared" si="11" ref="G301:G317">TRUNC(E301*F301,2)</f>
        <v>1.24</v>
      </c>
      <c r="H301" s="63"/>
      <c r="I301" s="64"/>
      <c r="J301" s="97"/>
    </row>
    <row r="302" spans="2:10" s="67" customFormat="1" ht="14.25">
      <c r="B302" s="67" t="s">
        <v>269</v>
      </c>
      <c r="C302" s="67" t="s">
        <v>270</v>
      </c>
      <c r="D302" s="67" t="s">
        <v>12</v>
      </c>
      <c r="E302" s="67">
        <v>1</v>
      </c>
      <c r="F302" s="68">
        <f>TRUNC(5.87,2)</f>
        <v>5.87</v>
      </c>
      <c r="G302" s="63">
        <f t="shared" si="11"/>
        <v>5.87</v>
      </c>
      <c r="H302" s="63"/>
      <c r="I302" s="64"/>
      <c r="J302" s="97"/>
    </row>
    <row r="303" spans="2:10" s="67" customFormat="1" ht="28.5">
      <c r="B303" s="67" t="s">
        <v>271</v>
      </c>
      <c r="C303" s="67" t="s">
        <v>272</v>
      </c>
      <c r="D303" s="67" t="s">
        <v>5</v>
      </c>
      <c r="E303" s="67">
        <v>0.15</v>
      </c>
      <c r="F303" s="68">
        <f>TRUNC(40.7168,2)</f>
        <v>40.71</v>
      </c>
      <c r="G303" s="63">
        <f t="shared" si="11"/>
        <v>6.1</v>
      </c>
      <c r="H303" s="63"/>
      <c r="I303" s="64"/>
      <c r="J303" s="97"/>
    </row>
    <row r="304" spans="2:10" s="67" customFormat="1" ht="14.25">
      <c r="B304" s="67" t="s">
        <v>281</v>
      </c>
      <c r="C304" s="67" t="s">
        <v>282</v>
      </c>
      <c r="D304" s="67" t="s">
        <v>12</v>
      </c>
      <c r="E304" s="67">
        <v>2</v>
      </c>
      <c r="F304" s="68">
        <f>TRUNC(0.71,2)</f>
        <v>0.71</v>
      </c>
      <c r="G304" s="63">
        <f t="shared" si="11"/>
        <v>1.42</v>
      </c>
      <c r="H304" s="63"/>
      <c r="I304" s="64"/>
      <c r="J304" s="97"/>
    </row>
    <row r="305" spans="2:10" s="67" customFormat="1" ht="14.25">
      <c r="B305" s="67" t="s">
        <v>275</v>
      </c>
      <c r="C305" s="67" t="s">
        <v>276</v>
      </c>
      <c r="D305" s="67" t="s">
        <v>12</v>
      </c>
      <c r="E305" s="67">
        <v>2</v>
      </c>
      <c r="F305" s="68">
        <f>TRUNC(0.41,2)</f>
        <v>0.41</v>
      </c>
      <c r="G305" s="63">
        <f t="shared" si="11"/>
        <v>0.82</v>
      </c>
      <c r="H305" s="63"/>
      <c r="I305" s="64"/>
      <c r="J305" s="97"/>
    </row>
    <row r="306" spans="2:10" s="67" customFormat="1" ht="28.5">
      <c r="B306" s="67" t="s">
        <v>289</v>
      </c>
      <c r="C306" s="67" t="s">
        <v>290</v>
      </c>
      <c r="D306" s="67" t="s">
        <v>12</v>
      </c>
      <c r="E306" s="67">
        <v>1</v>
      </c>
      <c r="F306" s="68">
        <f>TRUNC(23.81,2)</f>
        <v>23.81</v>
      </c>
      <c r="G306" s="63">
        <f t="shared" si="11"/>
        <v>23.81</v>
      </c>
      <c r="H306" s="63"/>
      <c r="I306" s="64"/>
      <c r="J306" s="97"/>
    </row>
    <row r="307" spans="2:10" s="67" customFormat="1" ht="14.25">
      <c r="B307" s="67" t="s">
        <v>279</v>
      </c>
      <c r="C307" s="67" t="s">
        <v>280</v>
      </c>
      <c r="D307" s="67" t="s">
        <v>12</v>
      </c>
      <c r="E307" s="67">
        <v>1</v>
      </c>
      <c r="F307" s="68">
        <f>TRUNC(21.03,2)</f>
        <v>21.03</v>
      </c>
      <c r="G307" s="63">
        <f t="shared" si="11"/>
        <v>21.03</v>
      </c>
      <c r="H307" s="63"/>
      <c r="I307" s="64"/>
      <c r="J307" s="97"/>
    </row>
    <row r="308" spans="2:10" s="67" customFormat="1" ht="14.25">
      <c r="B308" s="67" t="s">
        <v>291</v>
      </c>
      <c r="C308" s="67" t="s">
        <v>292</v>
      </c>
      <c r="D308" s="67" t="s">
        <v>12</v>
      </c>
      <c r="E308" s="67">
        <v>1</v>
      </c>
      <c r="F308" s="68">
        <f>TRUNC(26.0015,2)</f>
        <v>26</v>
      </c>
      <c r="G308" s="63">
        <f t="shared" si="11"/>
        <v>26</v>
      </c>
      <c r="H308" s="63"/>
      <c r="I308" s="64"/>
      <c r="J308" s="97"/>
    </row>
    <row r="309" spans="2:10" s="67" customFormat="1" ht="14.25">
      <c r="B309" s="67" t="s">
        <v>283</v>
      </c>
      <c r="C309" s="67" t="s">
        <v>284</v>
      </c>
      <c r="D309" s="67" t="s">
        <v>12</v>
      </c>
      <c r="E309" s="67">
        <v>3</v>
      </c>
      <c r="F309" s="68">
        <f>TRUNC(3.53,2)</f>
        <v>3.53</v>
      </c>
      <c r="G309" s="63">
        <f t="shared" si="11"/>
        <v>10.59</v>
      </c>
      <c r="H309" s="63"/>
      <c r="I309" s="64"/>
      <c r="J309" s="97"/>
    </row>
    <row r="310" spans="2:10" s="67" customFormat="1" ht="14.25">
      <c r="B310" s="67" t="s">
        <v>267</v>
      </c>
      <c r="C310" s="67" t="s">
        <v>268</v>
      </c>
      <c r="D310" s="67" t="s">
        <v>12</v>
      </c>
      <c r="E310" s="67">
        <v>1</v>
      </c>
      <c r="F310" s="68">
        <f>TRUNC(23.91,2)</f>
        <v>23.91</v>
      </c>
      <c r="G310" s="63">
        <f t="shared" si="11"/>
        <v>23.91</v>
      </c>
      <c r="H310" s="63"/>
      <c r="I310" s="64"/>
      <c r="J310" s="97"/>
    </row>
    <row r="311" spans="2:10" s="67" customFormat="1" ht="28.5">
      <c r="B311" s="67" t="s">
        <v>285</v>
      </c>
      <c r="C311" s="67" t="s">
        <v>286</v>
      </c>
      <c r="D311" s="67" t="s">
        <v>12</v>
      </c>
      <c r="E311" s="67">
        <v>1</v>
      </c>
      <c r="F311" s="68">
        <f>TRUNC(3.4004,2)</f>
        <v>3.4</v>
      </c>
      <c r="G311" s="63">
        <f t="shared" si="11"/>
        <v>3.4</v>
      </c>
      <c r="H311" s="63"/>
      <c r="I311" s="64"/>
      <c r="J311" s="97"/>
    </row>
    <row r="312" spans="2:10" s="67" customFormat="1" ht="28.5">
      <c r="B312" s="67" t="s">
        <v>287</v>
      </c>
      <c r="C312" s="67" t="s">
        <v>288</v>
      </c>
      <c r="D312" s="67" t="s">
        <v>12</v>
      </c>
      <c r="E312" s="67">
        <v>1</v>
      </c>
      <c r="F312" s="68">
        <f>TRUNC(51.4,2)</f>
        <v>51.4</v>
      </c>
      <c r="G312" s="63">
        <f t="shared" si="11"/>
        <v>51.4</v>
      </c>
      <c r="H312" s="63"/>
      <c r="I312" s="64"/>
      <c r="J312" s="97"/>
    </row>
    <row r="313" spans="2:10" s="67" customFormat="1" ht="28.5">
      <c r="B313" s="67" t="s">
        <v>273</v>
      </c>
      <c r="C313" s="67" t="s">
        <v>274</v>
      </c>
      <c r="D313" s="67" t="s">
        <v>12</v>
      </c>
      <c r="E313" s="67">
        <v>2</v>
      </c>
      <c r="F313" s="68">
        <f>TRUNC(4.41,2)</f>
        <v>4.41</v>
      </c>
      <c r="G313" s="63">
        <f t="shared" si="11"/>
        <v>8.82</v>
      </c>
      <c r="H313" s="63"/>
      <c r="I313" s="64"/>
      <c r="J313" s="97"/>
    </row>
    <row r="314" spans="2:10" s="67" customFormat="1" ht="14.25">
      <c r="B314" s="67" t="s">
        <v>188</v>
      </c>
      <c r="C314" s="67" t="s">
        <v>189</v>
      </c>
      <c r="D314" s="67" t="s">
        <v>6</v>
      </c>
      <c r="E314" s="67">
        <v>17.51</v>
      </c>
      <c r="F314" s="68">
        <f>TRUNC(15.09,2)</f>
        <v>15.09</v>
      </c>
      <c r="G314" s="63">
        <f t="shared" si="11"/>
        <v>264.22</v>
      </c>
      <c r="H314" s="63"/>
      <c r="I314" s="64"/>
      <c r="J314" s="97"/>
    </row>
    <row r="315" spans="2:10" s="67" customFormat="1" ht="14.25">
      <c r="B315" s="67" t="s">
        <v>194</v>
      </c>
      <c r="C315" s="67" t="s">
        <v>195</v>
      </c>
      <c r="D315" s="67" t="s">
        <v>6</v>
      </c>
      <c r="E315" s="67">
        <v>17.51</v>
      </c>
      <c r="F315" s="68">
        <f>TRUNC(20.83,2)</f>
        <v>20.83</v>
      </c>
      <c r="G315" s="63">
        <f t="shared" si="11"/>
        <v>364.73</v>
      </c>
      <c r="H315" s="63"/>
      <c r="I315" s="64"/>
      <c r="J315" s="97"/>
    </row>
    <row r="316" spans="2:10" s="67" customFormat="1" ht="14.25">
      <c r="B316" s="67" t="s">
        <v>427</v>
      </c>
      <c r="C316" s="67" t="s">
        <v>428</v>
      </c>
      <c r="D316" s="67" t="s">
        <v>0</v>
      </c>
      <c r="E316" s="67">
        <v>1.7</v>
      </c>
      <c r="F316" s="68">
        <f>TRUNC(49.1996,2)</f>
        <v>49.19</v>
      </c>
      <c r="G316" s="63">
        <f t="shared" si="11"/>
        <v>83.62</v>
      </c>
      <c r="H316" s="63"/>
      <c r="I316" s="64"/>
      <c r="J316" s="97"/>
    </row>
    <row r="317" spans="2:10" s="67" customFormat="1" ht="14.25">
      <c r="B317" s="67" t="s">
        <v>407</v>
      </c>
      <c r="C317" s="67" t="s">
        <v>408</v>
      </c>
      <c r="D317" s="67" t="s">
        <v>1</v>
      </c>
      <c r="E317" s="67">
        <v>0.13</v>
      </c>
      <c r="F317" s="68">
        <f>TRUNC(272.453,2)</f>
        <v>272.45</v>
      </c>
      <c r="G317" s="63">
        <f t="shared" si="11"/>
        <v>35.41</v>
      </c>
      <c r="H317" s="63"/>
      <c r="I317" s="64"/>
      <c r="J317" s="97"/>
    </row>
    <row r="318" spans="5:10" s="67" customFormat="1" ht="14.25">
      <c r="E318" s="67" t="s">
        <v>7</v>
      </c>
      <c r="F318" s="68"/>
      <c r="G318" s="63">
        <f>TRUNC(SUM(G301:G317),2)</f>
        <v>932.39</v>
      </c>
      <c r="H318" s="63"/>
      <c r="I318" s="64"/>
      <c r="J318" s="97"/>
    </row>
    <row r="319" spans="1:10" s="99" customFormat="1" ht="28.5">
      <c r="A319" s="99" t="s">
        <v>317</v>
      </c>
      <c r="B319" s="99" t="s">
        <v>429</v>
      </c>
      <c r="C319" s="99" t="s">
        <v>299</v>
      </c>
      <c r="D319" s="99" t="s">
        <v>12</v>
      </c>
      <c r="E319" s="99">
        <v>1</v>
      </c>
      <c r="F319" s="100">
        <f>TRUNC(G323,2)</f>
        <v>38.09</v>
      </c>
      <c r="G319" s="101">
        <f>TRUNC(F319*1.2338,2)</f>
        <v>46.99</v>
      </c>
      <c r="H319" s="101">
        <f>TRUNC(F319*E319,2)</f>
        <v>38.09</v>
      </c>
      <c r="I319" s="102">
        <f>TRUNC(E319*G319,2)</f>
        <v>46.99</v>
      </c>
      <c r="J319" s="114">
        <v>47.82</v>
      </c>
    </row>
    <row r="320" spans="2:10" s="67" customFormat="1" ht="28.5">
      <c r="B320" s="67" t="s">
        <v>300</v>
      </c>
      <c r="C320" s="67" t="s">
        <v>747</v>
      </c>
      <c r="D320" s="67" t="s">
        <v>12</v>
      </c>
      <c r="E320" s="67">
        <v>1</v>
      </c>
      <c r="F320" s="68">
        <f>TRUNC(28.85,2)</f>
        <v>28.85</v>
      </c>
      <c r="G320" s="63">
        <f>TRUNC(E320*F320,2)</f>
        <v>28.85</v>
      </c>
      <c r="H320" s="63"/>
      <c r="I320" s="64"/>
      <c r="J320" s="97"/>
    </row>
    <row r="321" spans="2:10" s="67" customFormat="1" ht="14.25">
      <c r="B321" s="67" t="s">
        <v>188</v>
      </c>
      <c r="C321" s="67" t="s">
        <v>189</v>
      </c>
      <c r="D321" s="67" t="s">
        <v>6</v>
      </c>
      <c r="E321" s="67">
        <v>0.2575</v>
      </c>
      <c r="F321" s="68">
        <f>TRUNC(15.09,2)</f>
        <v>15.09</v>
      </c>
      <c r="G321" s="63">
        <f>TRUNC(E321*F321,2)</f>
        <v>3.88</v>
      </c>
      <c r="H321" s="63"/>
      <c r="I321" s="64"/>
      <c r="J321" s="97"/>
    </row>
    <row r="322" spans="2:10" s="67" customFormat="1" ht="14.25">
      <c r="B322" s="67" t="s">
        <v>194</v>
      </c>
      <c r="C322" s="67" t="s">
        <v>195</v>
      </c>
      <c r="D322" s="67" t="s">
        <v>6</v>
      </c>
      <c r="E322" s="67">
        <v>0.2575</v>
      </c>
      <c r="F322" s="68">
        <f>TRUNC(20.83,2)</f>
        <v>20.83</v>
      </c>
      <c r="G322" s="63">
        <f>TRUNC(E322*F322,2)</f>
        <v>5.36</v>
      </c>
      <c r="H322" s="63"/>
      <c r="I322" s="64"/>
      <c r="J322" s="97"/>
    </row>
    <row r="323" spans="5:10" s="67" customFormat="1" ht="14.25">
      <c r="E323" s="67" t="s">
        <v>7</v>
      </c>
      <c r="F323" s="68"/>
      <c r="G323" s="63">
        <f>TRUNC(SUM(G320:G322),2)</f>
        <v>38.09</v>
      </c>
      <c r="H323" s="63"/>
      <c r="I323" s="64"/>
      <c r="J323" s="97"/>
    </row>
    <row r="324" spans="1:10" s="99" customFormat="1" ht="28.5">
      <c r="A324" s="99" t="s">
        <v>494</v>
      </c>
      <c r="B324" s="99" t="s">
        <v>842</v>
      </c>
      <c r="C324" s="99" t="s">
        <v>390</v>
      </c>
      <c r="D324" s="99" t="s">
        <v>12</v>
      </c>
      <c r="E324" s="99">
        <v>2</v>
      </c>
      <c r="F324" s="100">
        <f>TRUNC(G329,2)</f>
        <v>55.21</v>
      </c>
      <c r="G324" s="101">
        <f>TRUNC(F324*1.2338,2)</f>
        <v>68.11</v>
      </c>
      <c r="H324" s="101">
        <f>TRUNC(F324*E324,2)</f>
        <v>110.42</v>
      </c>
      <c r="I324" s="102">
        <f>TRUNC(E324*G324,2)</f>
        <v>136.22</v>
      </c>
      <c r="J324" s="114">
        <v>142.12</v>
      </c>
    </row>
    <row r="325" spans="2:10" s="67" customFormat="1" ht="14.25">
      <c r="B325" s="67" t="s">
        <v>843</v>
      </c>
      <c r="C325" s="67" t="s">
        <v>391</v>
      </c>
      <c r="D325" s="67" t="s">
        <v>12</v>
      </c>
      <c r="E325" s="67">
        <v>1</v>
      </c>
      <c r="F325" s="68">
        <f>TRUNC(49.3,2)</f>
        <v>49.3</v>
      </c>
      <c r="G325" s="63">
        <f>TRUNC(E325*F325,2)</f>
        <v>49.3</v>
      </c>
      <c r="H325" s="63"/>
      <c r="I325" s="64"/>
      <c r="J325" s="97"/>
    </row>
    <row r="326" spans="2:10" s="67" customFormat="1" ht="28.5">
      <c r="B326" s="67" t="s">
        <v>844</v>
      </c>
      <c r="C326" s="67" t="s">
        <v>392</v>
      </c>
      <c r="D326" s="67" t="s">
        <v>12</v>
      </c>
      <c r="E326" s="67">
        <v>2</v>
      </c>
      <c r="F326" s="68">
        <f>TRUNC(0.6,2)</f>
        <v>0.6</v>
      </c>
      <c r="G326" s="63">
        <f>TRUNC(E326*F326,2)</f>
        <v>1.2</v>
      </c>
      <c r="H326" s="63"/>
      <c r="I326" s="64"/>
      <c r="J326" s="97"/>
    </row>
    <row r="327" spans="2:10" s="67" customFormat="1" ht="14.25">
      <c r="B327" s="67" t="s">
        <v>816</v>
      </c>
      <c r="C327" s="67" t="s">
        <v>296</v>
      </c>
      <c r="D327" s="67" t="s">
        <v>6</v>
      </c>
      <c r="E327" s="67">
        <v>0.095</v>
      </c>
      <c r="F327" s="68">
        <f>TRUNC(27.97,2)</f>
        <v>27.97</v>
      </c>
      <c r="G327" s="63">
        <f>TRUNC(E327*F327,2)</f>
        <v>2.65</v>
      </c>
      <c r="H327" s="63"/>
      <c r="I327" s="64"/>
      <c r="J327" s="97"/>
    </row>
    <row r="328" spans="2:10" s="67" customFormat="1" ht="14.25">
      <c r="B328" s="67" t="s">
        <v>845</v>
      </c>
      <c r="C328" s="67" t="s">
        <v>297</v>
      </c>
      <c r="D328" s="67" t="s">
        <v>6</v>
      </c>
      <c r="E328" s="67">
        <v>0.095</v>
      </c>
      <c r="F328" s="68">
        <f>TRUNC(21.74,2)</f>
        <v>21.74</v>
      </c>
      <c r="G328" s="63">
        <f>TRUNC(E328*F328,2)</f>
        <v>2.06</v>
      </c>
      <c r="H328" s="63"/>
      <c r="I328" s="64"/>
      <c r="J328" s="97"/>
    </row>
    <row r="329" spans="5:10" s="67" customFormat="1" ht="14.25">
      <c r="E329" s="67" t="s">
        <v>7</v>
      </c>
      <c r="F329" s="68"/>
      <c r="G329" s="63">
        <f>TRUNC(SUM(G325:G328),2)</f>
        <v>55.21</v>
      </c>
      <c r="H329" s="63"/>
      <c r="I329" s="64"/>
      <c r="J329" s="97"/>
    </row>
    <row r="330" spans="1:10" s="99" customFormat="1" ht="28.5">
      <c r="A330" s="99" t="s">
        <v>318</v>
      </c>
      <c r="B330" s="99" t="s">
        <v>846</v>
      </c>
      <c r="C330" s="99" t="s">
        <v>301</v>
      </c>
      <c r="D330" s="99" t="s">
        <v>3</v>
      </c>
      <c r="E330" s="99">
        <v>38.19</v>
      </c>
      <c r="F330" s="100">
        <f>TRUNC(G335,2)</f>
        <v>8.24</v>
      </c>
      <c r="G330" s="101">
        <f>TRUNC(F330*1.2338,2)</f>
        <v>10.16</v>
      </c>
      <c r="H330" s="101">
        <f>TRUNC(F330*E330,2)</f>
        <v>314.68</v>
      </c>
      <c r="I330" s="102">
        <f>TRUNC(E330*G330,2)</f>
        <v>388.01</v>
      </c>
      <c r="J330" s="114">
        <v>383.8</v>
      </c>
    </row>
    <row r="331" spans="2:10" s="67" customFormat="1" ht="14.25">
      <c r="B331" s="67" t="s">
        <v>847</v>
      </c>
      <c r="C331" s="67" t="s">
        <v>295</v>
      </c>
      <c r="D331" s="67" t="s">
        <v>5</v>
      </c>
      <c r="E331" s="67">
        <v>0.0018</v>
      </c>
      <c r="F331" s="68">
        <f>TRUNC(13.35,2)</f>
        <v>13.35</v>
      </c>
      <c r="G331" s="63">
        <f>TRUNC(E331*F331,2)</f>
        <v>0.02</v>
      </c>
      <c r="H331" s="63"/>
      <c r="I331" s="64"/>
      <c r="J331" s="97"/>
    </row>
    <row r="332" spans="2:10" s="67" customFormat="1" ht="14.25">
      <c r="B332" s="67" t="s">
        <v>848</v>
      </c>
      <c r="C332" s="67" t="s">
        <v>302</v>
      </c>
      <c r="D332" s="67" t="s">
        <v>3</v>
      </c>
      <c r="E332" s="67">
        <v>1.017</v>
      </c>
      <c r="F332" s="68">
        <f>TRUNC(3.11,2)</f>
        <v>3.11</v>
      </c>
      <c r="G332" s="63">
        <f>TRUNC(E332*F332,2)</f>
        <v>3.16</v>
      </c>
      <c r="H332" s="63"/>
      <c r="I332" s="64"/>
      <c r="J332" s="97"/>
    </row>
    <row r="333" spans="2:10" s="67" customFormat="1" ht="14.25">
      <c r="B333" s="67" t="s">
        <v>816</v>
      </c>
      <c r="C333" s="67" t="s">
        <v>296</v>
      </c>
      <c r="D333" s="67" t="s">
        <v>6</v>
      </c>
      <c r="E333" s="67">
        <v>0.102</v>
      </c>
      <c r="F333" s="68">
        <f>TRUNC(27.97,2)</f>
        <v>27.97</v>
      </c>
      <c r="G333" s="63">
        <f>TRUNC(E333*F333,2)</f>
        <v>2.85</v>
      </c>
      <c r="H333" s="63"/>
      <c r="I333" s="64"/>
      <c r="J333" s="97"/>
    </row>
    <row r="334" spans="2:10" s="67" customFormat="1" ht="14.25">
      <c r="B334" s="67" t="s">
        <v>845</v>
      </c>
      <c r="C334" s="67" t="s">
        <v>297</v>
      </c>
      <c r="D334" s="67" t="s">
        <v>6</v>
      </c>
      <c r="E334" s="67">
        <v>0.102</v>
      </c>
      <c r="F334" s="68">
        <f>TRUNC(21.74,2)</f>
        <v>21.74</v>
      </c>
      <c r="G334" s="63">
        <f>TRUNC(E334*F334,2)</f>
        <v>2.21</v>
      </c>
      <c r="H334" s="63"/>
      <c r="I334" s="64"/>
      <c r="J334" s="97"/>
    </row>
    <row r="335" spans="5:10" s="67" customFormat="1" ht="14.25">
      <c r="E335" s="67" t="s">
        <v>7</v>
      </c>
      <c r="F335" s="68"/>
      <c r="G335" s="63">
        <f>TRUNC(SUM(G331:G334),2)</f>
        <v>8.24</v>
      </c>
      <c r="H335" s="63"/>
      <c r="I335" s="64"/>
      <c r="J335" s="97"/>
    </row>
    <row r="336" spans="1:10" s="99" customFormat="1" ht="28.5">
      <c r="A336" s="99" t="s">
        <v>319</v>
      </c>
      <c r="B336" s="99" t="s">
        <v>849</v>
      </c>
      <c r="C336" s="99" t="s">
        <v>303</v>
      </c>
      <c r="D336" s="99" t="s">
        <v>12</v>
      </c>
      <c r="E336" s="99">
        <v>8</v>
      </c>
      <c r="F336" s="100">
        <f>TRUNC(G340,2)</f>
        <v>10.21</v>
      </c>
      <c r="G336" s="101">
        <f>TRUNC(F336*1.2338,2)</f>
        <v>12.59</v>
      </c>
      <c r="H336" s="101">
        <f>TRUNC(F336*E336,2)</f>
        <v>81.68</v>
      </c>
      <c r="I336" s="102">
        <f>TRUNC(E336*G336,2)</f>
        <v>100.72</v>
      </c>
      <c r="J336" s="114">
        <v>98.08</v>
      </c>
    </row>
    <row r="337" spans="2:10" s="67" customFormat="1" ht="14.25">
      <c r="B337" s="67" t="s">
        <v>850</v>
      </c>
      <c r="C337" s="67" t="s">
        <v>304</v>
      </c>
      <c r="D337" s="67" t="s">
        <v>12</v>
      </c>
      <c r="E337" s="67">
        <v>1</v>
      </c>
      <c r="F337" s="68">
        <f>TRUNC(2.27,2)</f>
        <v>2.27</v>
      </c>
      <c r="G337" s="63">
        <f>TRUNC(E337*F337,2)</f>
        <v>2.27</v>
      </c>
      <c r="H337" s="63"/>
      <c r="I337" s="64"/>
      <c r="J337" s="97"/>
    </row>
    <row r="338" spans="2:10" s="67" customFormat="1" ht="14.25">
      <c r="B338" s="67" t="s">
        <v>816</v>
      </c>
      <c r="C338" s="67" t="s">
        <v>296</v>
      </c>
      <c r="D338" s="67" t="s">
        <v>6</v>
      </c>
      <c r="E338" s="67">
        <v>0.16</v>
      </c>
      <c r="F338" s="68">
        <f>TRUNC(27.97,2)</f>
        <v>27.97</v>
      </c>
      <c r="G338" s="63">
        <f>TRUNC(E338*F338,2)</f>
        <v>4.47</v>
      </c>
      <c r="H338" s="63"/>
      <c r="I338" s="64"/>
      <c r="J338" s="97"/>
    </row>
    <row r="339" spans="2:10" s="67" customFormat="1" ht="14.25">
      <c r="B339" s="67" t="s">
        <v>845</v>
      </c>
      <c r="C339" s="67" t="s">
        <v>297</v>
      </c>
      <c r="D339" s="67" t="s">
        <v>6</v>
      </c>
      <c r="E339" s="67">
        <v>0.16</v>
      </c>
      <c r="F339" s="68">
        <f>TRUNC(21.74,2)</f>
        <v>21.74</v>
      </c>
      <c r="G339" s="63">
        <f>TRUNC(E339*F339,2)</f>
        <v>3.47</v>
      </c>
      <c r="H339" s="63"/>
      <c r="I339" s="64"/>
      <c r="J339" s="97"/>
    </row>
    <row r="340" spans="5:10" s="67" customFormat="1" ht="14.25">
      <c r="E340" s="67" t="s">
        <v>7</v>
      </c>
      <c r="F340" s="68"/>
      <c r="G340" s="63">
        <f>TRUNC(SUM(G337:G339),2)</f>
        <v>10.21</v>
      </c>
      <c r="H340" s="63"/>
      <c r="I340" s="64"/>
      <c r="J340" s="97"/>
    </row>
    <row r="341" spans="1:10" s="99" customFormat="1" ht="28.5">
      <c r="A341" s="99" t="s">
        <v>320</v>
      </c>
      <c r="B341" s="99" t="s">
        <v>851</v>
      </c>
      <c r="C341" s="99" t="s">
        <v>305</v>
      </c>
      <c r="D341" s="99" t="s">
        <v>12</v>
      </c>
      <c r="E341" s="99">
        <v>1</v>
      </c>
      <c r="F341" s="100">
        <f>TRUNC(G346,2)</f>
        <v>25.95</v>
      </c>
      <c r="G341" s="101">
        <f>TRUNC(F341*1.2338,2)</f>
        <v>32.01</v>
      </c>
      <c r="H341" s="101">
        <f>TRUNC(F341*E341,2)</f>
        <v>25.95</v>
      </c>
      <c r="I341" s="102">
        <f>TRUNC(E341*G341,2)</f>
        <v>32.01</v>
      </c>
      <c r="J341" s="114">
        <v>32.39</v>
      </c>
    </row>
    <row r="342" spans="2:10" s="67" customFormat="1" ht="14.25">
      <c r="B342" s="67" t="s">
        <v>852</v>
      </c>
      <c r="C342" s="67" t="s">
        <v>306</v>
      </c>
      <c r="D342" s="67" t="s">
        <v>12</v>
      </c>
      <c r="E342" s="67">
        <v>1</v>
      </c>
      <c r="F342" s="68">
        <f>TRUNC(14.89,2)</f>
        <v>14.89</v>
      </c>
      <c r="G342" s="63">
        <f>TRUNC(E342*F342,2)</f>
        <v>14.89</v>
      </c>
      <c r="H342" s="63"/>
      <c r="I342" s="64"/>
      <c r="J342" s="97"/>
    </row>
    <row r="343" spans="2:10" s="67" customFormat="1" ht="14.25">
      <c r="B343" s="67" t="s">
        <v>817</v>
      </c>
      <c r="C343" s="67" t="s">
        <v>127</v>
      </c>
      <c r="D343" s="67" t="s">
        <v>6</v>
      </c>
      <c r="E343" s="67">
        <v>0.1693</v>
      </c>
      <c r="F343" s="68">
        <f>TRUNC(21.86,2)</f>
        <v>21.86</v>
      </c>
      <c r="G343" s="63">
        <f>TRUNC(E343*F343,2)</f>
        <v>3.7</v>
      </c>
      <c r="H343" s="63"/>
      <c r="I343" s="64"/>
      <c r="J343" s="97"/>
    </row>
    <row r="344" spans="2:10" s="67" customFormat="1" ht="14.25">
      <c r="B344" s="67" t="s">
        <v>824</v>
      </c>
      <c r="C344" s="67" t="s">
        <v>307</v>
      </c>
      <c r="D344" s="67" t="s">
        <v>6</v>
      </c>
      <c r="E344" s="67">
        <v>0.1693</v>
      </c>
      <c r="F344" s="68">
        <f>TRUNC(28,2)</f>
        <v>28</v>
      </c>
      <c r="G344" s="63">
        <f>TRUNC(E344*F344,2)</f>
        <v>4.74</v>
      </c>
      <c r="H344" s="63"/>
      <c r="I344" s="64"/>
      <c r="J344" s="97"/>
    </row>
    <row r="345" spans="2:10" s="67" customFormat="1" ht="42.75">
      <c r="B345" s="67" t="s">
        <v>853</v>
      </c>
      <c r="C345" s="67" t="s">
        <v>854</v>
      </c>
      <c r="D345" s="67" t="s">
        <v>1</v>
      </c>
      <c r="E345" s="67">
        <v>0.0141</v>
      </c>
      <c r="F345" s="68">
        <f>TRUNC(186.29,2)</f>
        <v>186.29</v>
      </c>
      <c r="G345" s="63">
        <f>TRUNC(E345*F345,2)</f>
        <v>2.62</v>
      </c>
      <c r="H345" s="63"/>
      <c r="I345" s="64"/>
      <c r="J345" s="97"/>
    </row>
    <row r="346" spans="5:10" s="67" customFormat="1" ht="14.25">
      <c r="E346" s="67" t="s">
        <v>7</v>
      </c>
      <c r="F346" s="68"/>
      <c r="G346" s="63">
        <f>TRUNC(SUM(G342:G345),2)</f>
        <v>25.95</v>
      </c>
      <c r="H346" s="63"/>
      <c r="I346" s="64"/>
      <c r="J346" s="97"/>
    </row>
    <row r="347" spans="1:10" s="99" customFormat="1" ht="42.75">
      <c r="A347" s="99" t="s">
        <v>321</v>
      </c>
      <c r="B347" s="99" t="s">
        <v>430</v>
      </c>
      <c r="C347" s="99" t="s">
        <v>324</v>
      </c>
      <c r="D347" s="99" t="s">
        <v>12</v>
      </c>
      <c r="E347" s="99">
        <v>1</v>
      </c>
      <c r="F347" s="100">
        <f>TRUNC(G354,2)</f>
        <v>526.28</v>
      </c>
      <c r="G347" s="101">
        <f>TRUNC(F347*1.2338,2)</f>
        <v>649.32</v>
      </c>
      <c r="H347" s="101">
        <f>TRUNC(F347*E347,2)</f>
        <v>526.28</v>
      </c>
      <c r="I347" s="102">
        <f>TRUNC(E347*G347,2)</f>
        <v>649.32</v>
      </c>
      <c r="J347" s="114">
        <v>658.18</v>
      </c>
    </row>
    <row r="348" spans="2:10" s="67" customFormat="1" ht="28.5">
      <c r="B348" s="67" t="s">
        <v>326</v>
      </c>
      <c r="C348" s="67" t="s">
        <v>327</v>
      </c>
      <c r="D348" s="67" t="s">
        <v>12</v>
      </c>
      <c r="E348" s="67">
        <v>1</v>
      </c>
      <c r="F348" s="68">
        <f>TRUNC(322.4,2)</f>
        <v>322.4</v>
      </c>
      <c r="G348" s="63">
        <f aca="true" t="shared" si="12" ref="G348:G353">TRUNC(E348*F348,2)</f>
        <v>322.4</v>
      </c>
      <c r="H348" s="63"/>
      <c r="I348" s="64"/>
      <c r="J348" s="97"/>
    </row>
    <row r="349" spans="2:10" s="67" customFormat="1" ht="14.25">
      <c r="B349" s="67" t="s">
        <v>188</v>
      </c>
      <c r="C349" s="67" t="s">
        <v>189</v>
      </c>
      <c r="D349" s="67" t="s">
        <v>6</v>
      </c>
      <c r="E349" s="67">
        <v>5.665</v>
      </c>
      <c r="F349" s="68">
        <f>TRUNC(15.09,2)</f>
        <v>15.09</v>
      </c>
      <c r="G349" s="63">
        <f t="shared" si="12"/>
        <v>85.48</v>
      </c>
      <c r="H349" s="63"/>
      <c r="I349" s="64"/>
      <c r="J349" s="97"/>
    </row>
    <row r="350" spans="2:10" s="67" customFormat="1" ht="14.25">
      <c r="B350" s="67" t="s">
        <v>431</v>
      </c>
      <c r="C350" s="67" t="s">
        <v>432</v>
      </c>
      <c r="D350" s="67" t="s">
        <v>6</v>
      </c>
      <c r="E350" s="67">
        <v>1</v>
      </c>
      <c r="F350" s="68">
        <f>TRUNC(39.1693,2)</f>
        <v>39.16</v>
      </c>
      <c r="G350" s="63">
        <f t="shared" si="12"/>
        <v>39.16</v>
      </c>
      <c r="H350" s="63"/>
      <c r="I350" s="64"/>
      <c r="J350" s="97"/>
    </row>
    <row r="351" spans="2:10" s="67" customFormat="1" ht="14.25">
      <c r="B351" s="67" t="s">
        <v>433</v>
      </c>
      <c r="C351" s="67" t="s">
        <v>434</v>
      </c>
      <c r="D351" s="67" t="s">
        <v>1</v>
      </c>
      <c r="E351" s="67">
        <v>0.1</v>
      </c>
      <c r="F351" s="68">
        <f>TRUNC(67.9726,2)</f>
        <v>67.97</v>
      </c>
      <c r="G351" s="63">
        <f t="shared" si="12"/>
        <v>6.79</v>
      </c>
      <c r="H351" s="63"/>
      <c r="I351" s="64"/>
      <c r="J351" s="97"/>
    </row>
    <row r="352" spans="2:10" s="67" customFormat="1" ht="14.25">
      <c r="B352" s="67" t="s">
        <v>435</v>
      </c>
      <c r="C352" s="67" t="s">
        <v>436</v>
      </c>
      <c r="D352" s="67" t="s">
        <v>1</v>
      </c>
      <c r="E352" s="67">
        <v>0.1</v>
      </c>
      <c r="F352" s="68">
        <f>TRUNC(205.6994,2)</f>
        <v>205.69</v>
      </c>
      <c r="G352" s="63">
        <f t="shared" si="12"/>
        <v>20.56</v>
      </c>
      <c r="H352" s="63"/>
      <c r="I352" s="64"/>
      <c r="J352" s="97"/>
    </row>
    <row r="353" spans="2:10" s="67" customFormat="1" ht="14.25">
      <c r="B353" s="67" t="s">
        <v>437</v>
      </c>
      <c r="C353" s="67" t="s">
        <v>438</v>
      </c>
      <c r="D353" s="67" t="s">
        <v>6</v>
      </c>
      <c r="E353" s="67">
        <v>1</v>
      </c>
      <c r="F353" s="68">
        <f>TRUNC(51.8922,2)</f>
        <v>51.89</v>
      </c>
      <c r="G353" s="63">
        <f t="shared" si="12"/>
        <v>51.89</v>
      </c>
      <c r="H353" s="63"/>
      <c r="I353" s="64"/>
      <c r="J353" s="97"/>
    </row>
    <row r="354" spans="5:10" s="67" customFormat="1" ht="14.25">
      <c r="E354" s="67" t="s">
        <v>7</v>
      </c>
      <c r="F354" s="68"/>
      <c r="G354" s="63">
        <f>TRUNC(SUM(G348:G353),2)</f>
        <v>526.28</v>
      </c>
      <c r="H354" s="63"/>
      <c r="I354" s="64"/>
      <c r="J354" s="97"/>
    </row>
    <row r="355" spans="1:10" s="99" customFormat="1" ht="42.75">
      <c r="A355" s="99" t="s">
        <v>322</v>
      </c>
      <c r="B355" s="99" t="s">
        <v>439</v>
      </c>
      <c r="C355" s="99" t="s">
        <v>335</v>
      </c>
      <c r="D355" s="99" t="s">
        <v>12</v>
      </c>
      <c r="E355" s="99">
        <v>5</v>
      </c>
      <c r="F355" s="100">
        <f>TRUNC(G360,2)</f>
        <v>6.18</v>
      </c>
      <c r="G355" s="101">
        <f>TRUNC(F355*1.2338,2)</f>
        <v>7.62</v>
      </c>
      <c r="H355" s="101">
        <f>TRUNC(F355*E355,2)</f>
        <v>30.9</v>
      </c>
      <c r="I355" s="102">
        <f>TRUNC(E355*G355,2)</f>
        <v>38.1</v>
      </c>
      <c r="J355" s="114">
        <v>35.65</v>
      </c>
    </row>
    <row r="356" spans="2:10" s="67" customFormat="1" ht="14.25">
      <c r="B356" s="67" t="s">
        <v>336</v>
      </c>
      <c r="C356" s="67" t="s">
        <v>337</v>
      </c>
      <c r="D356" s="67" t="s">
        <v>12</v>
      </c>
      <c r="E356" s="67">
        <v>1</v>
      </c>
      <c r="F356" s="68">
        <f>TRUNC(0.04,2)</f>
        <v>0.04</v>
      </c>
      <c r="G356" s="63">
        <f>TRUNC(E356*F356,2)</f>
        <v>0.04</v>
      </c>
      <c r="H356" s="63"/>
      <c r="I356" s="64"/>
      <c r="J356" s="97"/>
    </row>
    <row r="357" spans="2:10" s="67" customFormat="1" ht="14.25">
      <c r="B357" s="67" t="s">
        <v>338</v>
      </c>
      <c r="C357" s="67" t="s">
        <v>339</v>
      </c>
      <c r="D357" s="67" t="s">
        <v>12</v>
      </c>
      <c r="E357" s="67">
        <v>1</v>
      </c>
      <c r="F357" s="68">
        <f>TRUNC(0.02,2)</f>
        <v>0.02</v>
      </c>
      <c r="G357" s="63">
        <f>TRUNC(E357*F357,2)</f>
        <v>0.02</v>
      </c>
      <c r="H357" s="63"/>
      <c r="I357" s="64"/>
      <c r="J357" s="97"/>
    </row>
    <row r="358" spans="2:10" s="67" customFormat="1" ht="14.25">
      <c r="B358" s="67" t="s">
        <v>340</v>
      </c>
      <c r="C358" s="67" t="s">
        <v>341</v>
      </c>
      <c r="D358" s="67" t="s">
        <v>12</v>
      </c>
      <c r="E358" s="67">
        <v>1</v>
      </c>
      <c r="F358" s="68">
        <f>TRUNC(0.98,2)</f>
        <v>0.98</v>
      </c>
      <c r="G358" s="63">
        <f>TRUNC(E358*F358,2)</f>
        <v>0.98</v>
      </c>
      <c r="H358" s="63"/>
      <c r="I358" s="64"/>
      <c r="J358" s="97"/>
    </row>
    <row r="359" spans="2:10" s="67" customFormat="1" ht="14.25">
      <c r="B359" s="67" t="s">
        <v>194</v>
      </c>
      <c r="C359" s="67" t="s">
        <v>195</v>
      </c>
      <c r="D359" s="67" t="s">
        <v>6</v>
      </c>
      <c r="E359" s="67">
        <v>0.2472</v>
      </c>
      <c r="F359" s="68">
        <f>TRUNC(20.83,2)</f>
        <v>20.83</v>
      </c>
      <c r="G359" s="63">
        <f>TRUNC(E359*F359,2)</f>
        <v>5.14</v>
      </c>
      <c r="H359" s="63"/>
      <c r="I359" s="64"/>
      <c r="J359" s="97"/>
    </row>
    <row r="360" spans="5:10" s="67" customFormat="1" ht="14.25">
      <c r="E360" s="67" t="s">
        <v>7</v>
      </c>
      <c r="F360" s="68"/>
      <c r="G360" s="63">
        <f>TRUNC(SUM(G356:G359),2)</f>
        <v>6.18</v>
      </c>
      <c r="H360" s="63"/>
      <c r="I360" s="64"/>
      <c r="J360" s="97"/>
    </row>
    <row r="361" spans="1:10" s="99" customFormat="1" ht="28.5">
      <c r="A361" s="99" t="s">
        <v>654</v>
      </c>
      <c r="B361" s="99" t="s">
        <v>653</v>
      </c>
      <c r="C361" s="99" t="s">
        <v>668</v>
      </c>
      <c r="D361" s="99" t="s">
        <v>12</v>
      </c>
      <c r="E361" s="99">
        <v>4</v>
      </c>
      <c r="F361" s="100">
        <f>TRUNC(G362+G368,2)</f>
        <v>167.62</v>
      </c>
      <c r="G361" s="101">
        <f>TRUNC(F361*1.2338,2)</f>
        <v>206.8</v>
      </c>
      <c r="H361" s="101">
        <f>TRUNC(F361*E361,2)</f>
        <v>670.48</v>
      </c>
      <c r="I361" s="102">
        <f>TRUNC(E361*G361,2)</f>
        <v>827.2</v>
      </c>
      <c r="J361" s="114">
        <v>862.36</v>
      </c>
    </row>
    <row r="362" spans="2:10" s="67" customFormat="1" ht="42.75">
      <c r="B362" s="67" t="s">
        <v>659</v>
      </c>
      <c r="C362" s="67" t="s">
        <v>660</v>
      </c>
      <c r="D362" s="67" t="s">
        <v>12</v>
      </c>
      <c r="E362" s="67">
        <v>1</v>
      </c>
      <c r="F362" s="68">
        <f>TRUNC(G367,2)</f>
        <v>7.94</v>
      </c>
      <c r="G362" s="63">
        <f>TRUNC(E362*F362,2)</f>
        <v>7.94</v>
      </c>
      <c r="H362" s="63"/>
      <c r="I362" s="64"/>
      <c r="J362" s="97"/>
    </row>
    <row r="363" spans="2:10" s="67" customFormat="1" ht="28.5">
      <c r="B363" s="67" t="s">
        <v>661</v>
      </c>
      <c r="C363" s="67" t="s">
        <v>662</v>
      </c>
      <c r="D363" s="67" t="s">
        <v>5</v>
      </c>
      <c r="E363" s="67">
        <v>0.04</v>
      </c>
      <c r="F363" s="68">
        <f>TRUNC(12.3,2)</f>
        <v>12.3</v>
      </c>
      <c r="G363" s="63">
        <f>TRUNC(E363*F363,2)</f>
        <v>0.49</v>
      </c>
      <c r="H363" s="63"/>
      <c r="I363" s="64"/>
      <c r="J363" s="97"/>
    </row>
    <row r="364" spans="2:10" s="67" customFormat="1" ht="14.25">
      <c r="B364" s="67" t="s">
        <v>655</v>
      </c>
      <c r="C364" s="67" t="s">
        <v>656</v>
      </c>
      <c r="D364" s="67" t="s">
        <v>6</v>
      </c>
      <c r="E364" s="67">
        <v>0.1854</v>
      </c>
      <c r="F364" s="68">
        <f>TRUNC(22.42,2)</f>
        <v>22.42</v>
      </c>
      <c r="G364" s="63">
        <f>TRUNC(E364*F364,2)</f>
        <v>4.15</v>
      </c>
      <c r="H364" s="63"/>
      <c r="I364" s="64"/>
      <c r="J364" s="97"/>
    </row>
    <row r="365" spans="2:10" s="67" customFormat="1" ht="14.25">
      <c r="B365" s="67" t="s">
        <v>657</v>
      </c>
      <c r="C365" s="67" t="s">
        <v>658</v>
      </c>
      <c r="D365" s="67" t="s">
        <v>6</v>
      </c>
      <c r="E365" s="67">
        <v>0.1545</v>
      </c>
      <c r="F365" s="68">
        <f>TRUNC(15.88,2)</f>
        <v>15.88</v>
      </c>
      <c r="G365" s="63">
        <f>TRUNC(E365*F365,2)</f>
        <v>2.45</v>
      </c>
      <c r="H365" s="63"/>
      <c r="I365" s="64"/>
      <c r="J365" s="97"/>
    </row>
    <row r="366" spans="2:10" s="67" customFormat="1" ht="14.25">
      <c r="B366" s="67" t="s">
        <v>663</v>
      </c>
      <c r="C366" s="67" t="s">
        <v>664</v>
      </c>
      <c r="D366" s="67" t="s">
        <v>6</v>
      </c>
      <c r="E366" s="67">
        <v>0.05</v>
      </c>
      <c r="F366" s="68">
        <f>TRUNC(17.1332,2)</f>
        <v>17.13</v>
      </c>
      <c r="G366" s="63">
        <f>TRUNC(E366*F366,2)</f>
        <v>0.85</v>
      </c>
      <c r="H366" s="63"/>
      <c r="I366" s="64"/>
      <c r="J366" s="97"/>
    </row>
    <row r="367" spans="5:10" s="67" customFormat="1" ht="14.25">
      <c r="E367" s="67" t="s">
        <v>7</v>
      </c>
      <c r="F367" s="68"/>
      <c r="G367" s="63">
        <f>TRUNC(SUM(G363:G366),2)</f>
        <v>7.94</v>
      </c>
      <c r="H367" s="63"/>
      <c r="I367" s="64"/>
      <c r="J367" s="97"/>
    </row>
    <row r="368" spans="2:10" s="67" customFormat="1" ht="14.25">
      <c r="B368" s="67" t="s">
        <v>855</v>
      </c>
      <c r="C368" s="67" t="s">
        <v>665</v>
      </c>
      <c r="D368" s="67" t="s">
        <v>12</v>
      </c>
      <c r="E368" s="67">
        <v>1</v>
      </c>
      <c r="F368" s="68">
        <f>TRUNC(G373,2)</f>
        <v>159.68</v>
      </c>
      <c r="G368" s="63">
        <f>TRUNC(E368*F368,2)</f>
        <v>159.68</v>
      </c>
      <c r="H368" s="63"/>
      <c r="I368" s="64"/>
      <c r="J368" s="97"/>
    </row>
    <row r="369" spans="2:10" s="67" customFormat="1" ht="14.25">
      <c r="B369" s="67" t="s">
        <v>856</v>
      </c>
      <c r="C369" s="67" t="s">
        <v>666</v>
      </c>
      <c r="D369" s="67" t="s">
        <v>12</v>
      </c>
      <c r="E369" s="67">
        <v>3</v>
      </c>
      <c r="F369" s="68">
        <f>TRUNC(50.5,2)</f>
        <v>50.5</v>
      </c>
      <c r="G369" s="63">
        <f>TRUNC(E369*F369,2)</f>
        <v>151.5</v>
      </c>
      <c r="H369" s="63"/>
      <c r="I369" s="64"/>
      <c r="J369" s="97"/>
    </row>
    <row r="370" spans="2:10" s="67" customFormat="1" ht="14.25">
      <c r="B370" s="67" t="s">
        <v>857</v>
      </c>
      <c r="C370" s="67" t="s">
        <v>667</v>
      </c>
      <c r="D370" s="67" t="s">
        <v>12</v>
      </c>
      <c r="E370" s="67">
        <v>1</v>
      </c>
      <c r="F370" s="68">
        <f>TRUNC(2.06,2)</f>
        <v>2.06</v>
      </c>
      <c r="G370" s="63">
        <f>TRUNC(E370*F370,2)</f>
        <v>2.06</v>
      </c>
      <c r="H370" s="63"/>
      <c r="I370" s="64"/>
      <c r="J370" s="97"/>
    </row>
    <row r="371" spans="2:10" s="67" customFormat="1" ht="14.25">
      <c r="B371" s="67" t="s">
        <v>816</v>
      </c>
      <c r="C371" s="67" t="s">
        <v>296</v>
      </c>
      <c r="D371" s="67" t="s">
        <v>6</v>
      </c>
      <c r="E371" s="67">
        <v>0.1655</v>
      </c>
      <c r="F371" s="68">
        <f>TRUNC(27.97,2)</f>
        <v>27.97</v>
      </c>
      <c r="G371" s="63">
        <f>TRUNC(E371*F371,2)</f>
        <v>4.62</v>
      </c>
      <c r="H371" s="63"/>
      <c r="I371" s="64"/>
      <c r="J371" s="97"/>
    </row>
    <row r="372" spans="2:10" s="67" customFormat="1" ht="14.25">
      <c r="B372" s="67" t="s">
        <v>845</v>
      </c>
      <c r="C372" s="67" t="s">
        <v>297</v>
      </c>
      <c r="D372" s="67" t="s">
        <v>6</v>
      </c>
      <c r="E372" s="67">
        <v>0.069</v>
      </c>
      <c r="F372" s="68">
        <f>TRUNC(21.74,2)</f>
        <v>21.74</v>
      </c>
      <c r="G372" s="63">
        <f>TRUNC(E372*F372,2)</f>
        <v>1.5</v>
      </c>
      <c r="H372" s="63"/>
      <c r="I372" s="64"/>
      <c r="J372" s="97"/>
    </row>
    <row r="373" spans="5:10" s="67" customFormat="1" ht="14.25">
      <c r="E373" s="67" t="s">
        <v>7</v>
      </c>
      <c r="F373" s="68"/>
      <c r="G373" s="63">
        <f>TRUNC(SUM(G369:G372),2)</f>
        <v>159.68</v>
      </c>
      <c r="H373" s="63"/>
      <c r="I373" s="64"/>
      <c r="J373" s="97"/>
    </row>
    <row r="374" spans="1:10" s="44" customFormat="1" ht="15.75">
      <c r="A374" s="53" t="s">
        <v>53</v>
      </c>
      <c r="B374" s="55"/>
      <c r="C374" s="54"/>
      <c r="D374" s="55"/>
      <c r="E374" s="55"/>
      <c r="F374" s="55" t="s">
        <v>495</v>
      </c>
      <c r="G374" s="55"/>
      <c r="H374" s="56">
        <f>H341+H336+H330+H324+H319+H300+H294+H289+H284+H279+H275+H272+H269+H347+H355+H361</f>
        <v>6657.76</v>
      </c>
      <c r="I374" s="56">
        <f>I341+I336+I330+I324+I319+I300+I294+I289+I284+I279+I275+I272+I269+I347+I355+I361</f>
        <v>8212.840000000002</v>
      </c>
      <c r="J374" s="96">
        <v>8240.74</v>
      </c>
    </row>
    <row r="375" spans="1:10" s="43" customFormat="1" ht="15.75">
      <c r="A375" s="43" t="s">
        <v>24</v>
      </c>
      <c r="B375" s="51"/>
      <c r="C375" s="52" t="s">
        <v>69</v>
      </c>
      <c r="D375" s="52"/>
      <c r="E375" s="52"/>
      <c r="F375" s="52"/>
      <c r="G375" s="52"/>
      <c r="H375" s="52"/>
      <c r="I375" s="50"/>
      <c r="J375" s="94"/>
    </row>
    <row r="376" spans="1:10" s="99" customFormat="1" ht="28.5">
      <c r="A376" s="99" t="s">
        <v>238</v>
      </c>
      <c r="B376" s="99" t="s">
        <v>236</v>
      </c>
      <c r="C376" s="99" t="s">
        <v>94</v>
      </c>
      <c r="D376" s="99" t="s">
        <v>16</v>
      </c>
      <c r="E376" s="99">
        <v>1</v>
      </c>
      <c r="F376" s="100">
        <f>TRUNC(1963.5,2)</f>
        <v>1963.5</v>
      </c>
      <c r="G376" s="101">
        <f>TRUNC(F376*1.2338,2)</f>
        <v>2422.56</v>
      </c>
      <c r="H376" s="101">
        <f>TRUNC(F376*E376,2)</f>
        <v>1963.5</v>
      </c>
      <c r="I376" s="102">
        <f>TRUNC(E376*G376,2)</f>
        <v>2422.56</v>
      </c>
      <c r="J376" s="114">
        <v>2548.03</v>
      </c>
    </row>
    <row r="377" spans="2:10" s="67" customFormat="1" ht="14.25">
      <c r="B377" s="67" t="s">
        <v>61</v>
      </c>
      <c r="C377" s="67" t="s">
        <v>95</v>
      </c>
      <c r="D377" s="67" t="s">
        <v>12</v>
      </c>
      <c r="E377" s="67">
        <v>1</v>
      </c>
      <c r="F377" s="68">
        <f>TRUNC(1963.5,2)</f>
        <v>1963.5</v>
      </c>
      <c r="G377" s="63">
        <f>TRUNC(E377*F377,2)</f>
        <v>1963.5</v>
      </c>
      <c r="H377" s="63"/>
      <c r="I377" s="64"/>
      <c r="J377" s="97"/>
    </row>
    <row r="378" spans="5:10" s="67" customFormat="1" ht="14.25">
      <c r="E378" s="67" t="s">
        <v>7</v>
      </c>
      <c r="F378" s="68"/>
      <c r="G378" s="63">
        <f>TRUNC(SUM(G377:G377),2)</f>
        <v>1963.5</v>
      </c>
      <c r="H378" s="63"/>
      <c r="I378" s="64"/>
      <c r="J378" s="97"/>
    </row>
    <row r="379" spans="1:10" s="99" customFormat="1" ht="14.25">
      <c r="A379" s="99" t="s">
        <v>239</v>
      </c>
      <c r="B379" s="99" t="s">
        <v>237</v>
      </c>
      <c r="C379" s="99" t="s">
        <v>97</v>
      </c>
      <c r="D379" s="99" t="s">
        <v>16</v>
      </c>
      <c r="E379" s="99">
        <v>1</v>
      </c>
      <c r="F379" s="100">
        <f>TRUNC(61.35,2)</f>
        <v>61.35</v>
      </c>
      <c r="G379" s="101">
        <f>TRUNC(F379*1.2338,2)</f>
        <v>75.69</v>
      </c>
      <c r="H379" s="101">
        <f>TRUNC(F379*E379,2)</f>
        <v>61.35</v>
      </c>
      <c r="I379" s="102">
        <f>TRUNC(E379*G379,2)</f>
        <v>75.69</v>
      </c>
      <c r="J379" s="114">
        <v>79.61</v>
      </c>
    </row>
    <row r="380" spans="2:10" s="67" customFormat="1" ht="14.25">
      <c r="B380" s="67" t="s">
        <v>17</v>
      </c>
      <c r="C380" s="67" t="s">
        <v>98</v>
      </c>
      <c r="D380" s="67" t="s">
        <v>12</v>
      </c>
      <c r="E380" s="67">
        <v>1</v>
      </c>
      <c r="F380" s="68">
        <f>TRUNC(61.35,2)</f>
        <v>61.35</v>
      </c>
      <c r="G380" s="63">
        <f>TRUNC(E380*F380,2)</f>
        <v>61.35</v>
      </c>
      <c r="H380" s="63"/>
      <c r="I380" s="64"/>
      <c r="J380" s="97"/>
    </row>
    <row r="381" spans="5:10" s="67" customFormat="1" ht="14.25">
      <c r="E381" s="67" t="s">
        <v>7</v>
      </c>
      <c r="F381" s="68"/>
      <c r="G381" s="63">
        <f>TRUNC(SUM(G380:G380),2)</f>
        <v>61.35</v>
      </c>
      <c r="H381" s="63"/>
      <c r="I381" s="64"/>
      <c r="J381" s="97"/>
    </row>
    <row r="382" spans="1:10" s="99" customFormat="1" ht="71.25">
      <c r="A382" s="99" t="s">
        <v>638</v>
      </c>
      <c r="B382" s="99" t="s">
        <v>592</v>
      </c>
      <c r="C382" s="99" t="s">
        <v>593</v>
      </c>
      <c r="D382" s="99" t="s">
        <v>12</v>
      </c>
      <c r="E382" s="99">
        <v>1</v>
      </c>
      <c r="F382" s="100">
        <f>TRUNC(G408,2)</f>
        <v>2013.55</v>
      </c>
      <c r="G382" s="101">
        <f>TRUNC(F382*1.2338,2)</f>
        <v>2484.31</v>
      </c>
      <c r="H382" s="101">
        <f>TRUNC(F382*E382,2)</f>
        <v>2013.55</v>
      </c>
      <c r="I382" s="102">
        <f>TRUNC(E382*G382,2)</f>
        <v>2484.31</v>
      </c>
      <c r="J382" s="114">
        <v>2412.68</v>
      </c>
    </row>
    <row r="383" spans="2:10" s="67" customFormat="1" ht="14.25">
      <c r="B383" s="67" t="s">
        <v>558</v>
      </c>
      <c r="C383" s="67" t="s">
        <v>559</v>
      </c>
      <c r="D383" s="67" t="s">
        <v>49</v>
      </c>
      <c r="E383" s="67">
        <v>0.06</v>
      </c>
      <c r="F383" s="68">
        <f>TRUNC(63.73,2)</f>
        <v>63.73</v>
      </c>
      <c r="G383" s="63">
        <f aca="true" t="shared" si="13" ref="G383:G407">TRUNC(E383*F383,2)</f>
        <v>3.82</v>
      </c>
      <c r="H383" s="63"/>
      <c r="I383" s="64"/>
      <c r="J383" s="97"/>
    </row>
    <row r="384" spans="2:10" s="67" customFormat="1" ht="14.25">
      <c r="B384" s="67" t="s">
        <v>50</v>
      </c>
      <c r="C384" s="67" t="s">
        <v>92</v>
      </c>
      <c r="D384" s="67" t="s">
        <v>49</v>
      </c>
      <c r="E384" s="67">
        <v>0.25</v>
      </c>
      <c r="F384" s="68">
        <f>TRUNC(57.05,2)</f>
        <v>57.05</v>
      </c>
      <c r="G384" s="63">
        <f t="shared" si="13"/>
        <v>14.26</v>
      </c>
      <c r="H384" s="63"/>
      <c r="I384" s="64"/>
      <c r="J384" s="97"/>
    </row>
    <row r="385" spans="2:10" s="67" customFormat="1" ht="14.25">
      <c r="B385" s="67" t="s">
        <v>560</v>
      </c>
      <c r="C385" s="67" t="s">
        <v>561</v>
      </c>
      <c r="D385" s="67" t="s">
        <v>49</v>
      </c>
      <c r="E385" s="67">
        <v>0.09</v>
      </c>
      <c r="F385" s="68">
        <f>TRUNC(54.62,2)</f>
        <v>54.62</v>
      </c>
      <c r="G385" s="63">
        <f t="shared" si="13"/>
        <v>4.91</v>
      </c>
      <c r="H385" s="63"/>
      <c r="I385" s="64"/>
      <c r="J385" s="97"/>
    </row>
    <row r="386" spans="2:10" s="67" customFormat="1" ht="14.25">
      <c r="B386" s="67" t="s">
        <v>166</v>
      </c>
      <c r="C386" s="67" t="s">
        <v>414</v>
      </c>
      <c r="D386" s="67" t="s">
        <v>3</v>
      </c>
      <c r="E386" s="67">
        <v>3.8639999999999994</v>
      </c>
      <c r="F386" s="68">
        <f>TRUNC(51.7,2)</f>
        <v>51.7</v>
      </c>
      <c r="G386" s="63">
        <f t="shared" si="13"/>
        <v>199.76</v>
      </c>
      <c r="H386" s="63"/>
      <c r="I386" s="64"/>
      <c r="J386" s="97"/>
    </row>
    <row r="387" spans="2:10" s="67" customFormat="1" ht="14.25">
      <c r="B387" s="67" t="s">
        <v>594</v>
      </c>
      <c r="C387" s="67" t="s">
        <v>595</v>
      </c>
      <c r="D387" s="67" t="s">
        <v>3</v>
      </c>
      <c r="E387" s="67">
        <v>1.5456</v>
      </c>
      <c r="F387" s="68">
        <f>TRUNC(62.796,2)</f>
        <v>62.79</v>
      </c>
      <c r="G387" s="63">
        <f t="shared" si="13"/>
        <v>97.04</v>
      </c>
      <c r="H387" s="63"/>
      <c r="I387" s="64"/>
      <c r="J387" s="97"/>
    </row>
    <row r="388" spans="2:10" s="67" customFormat="1" ht="14.25">
      <c r="B388" s="67" t="s">
        <v>562</v>
      </c>
      <c r="C388" s="67" t="s">
        <v>563</v>
      </c>
      <c r="D388" s="67" t="s">
        <v>49</v>
      </c>
      <c r="E388" s="67">
        <v>0.41</v>
      </c>
      <c r="F388" s="68">
        <f>TRUNC(35.28,2)</f>
        <v>35.28</v>
      </c>
      <c r="G388" s="63">
        <f t="shared" si="13"/>
        <v>14.46</v>
      </c>
      <c r="H388" s="63"/>
      <c r="I388" s="64"/>
      <c r="J388" s="97"/>
    </row>
    <row r="389" spans="2:10" s="67" customFormat="1" ht="14.25">
      <c r="B389" s="67" t="s">
        <v>564</v>
      </c>
      <c r="C389" s="67" t="s">
        <v>565</v>
      </c>
      <c r="D389" s="67" t="s">
        <v>5</v>
      </c>
      <c r="E389" s="67">
        <v>5.313</v>
      </c>
      <c r="F389" s="68">
        <f>TRUNC(4.1899,2)</f>
        <v>4.18</v>
      </c>
      <c r="G389" s="63">
        <f t="shared" si="13"/>
        <v>22.2</v>
      </c>
      <c r="H389" s="63"/>
      <c r="I389" s="64"/>
      <c r="J389" s="97"/>
    </row>
    <row r="390" spans="2:10" s="67" customFormat="1" ht="14.25">
      <c r="B390" s="67" t="s">
        <v>566</v>
      </c>
      <c r="C390" s="67" t="s">
        <v>567</v>
      </c>
      <c r="D390" s="67" t="s">
        <v>49</v>
      </c>
      <c r="E390" s="67">
        <v>0.12</v>
      </c>
      <c r="F390" s="68">
        <f>TRUNC(54.62,2)</f>
        <v>54.62</v>
      </c>
      <c r="G390" s="63">
        <f t="shared" si="13"/>
        <v>6.55</v>
      </c>
      <c r="H390" s="63"/>
      <c r="I390" s="64"/>
      <c r="J390" s="97"/>
    </row>
    <row r="391" spans="2:10" s="67" customFormat="1" ht="14.25">
      <c r="B391" s="67" t="s">
        <v>576</v>
      </c>
      <c r="C391" s="67" t="s">
        <v>577</v>
      </c>
      <c r="D391" s="67" t="s">
        <v>12</v>
      </c>
      <c r="E391" s="67">
        <v>16</v>
      </c>
      <c r="F391" s="68">
        <f>TRUNC(0.24,2)</f>
        <v>0.24</v>
      </c>
      <c r="G391" s="63">
        <f t="shared" si="13"/>
        <v>3.84</v>
      </c>
      <c r="H391" s="63"/>
      <c r="I391" s="64"/>
      <c r="J391" s="97"/>
    </row>
    <row r="392" spans="2:10" s="67" customFormat="1" ht="14.25">
      <c r="B392" s="67" t="s">
        <v>574</v>
      </c>
      <c r="C392" s="67" t="s">
        <v>575</v>
      </c>
      <c r="D392" s="67" t="s">
        <v>5</v>
      </c>
      <c r="E392" s="67">
        <v>10.2235</v>
      </c>
      <c r="F392" s="68">
        <f>TRUNC(4.6368,2)</f>
        <v>4.63</v>
      </c>
      <c r="G392" s="63">
        <f t="shared" si="13"/>
        <v>47.33</v>
      </c>
      <c r="H392" s="63"/>
      <c r="I392" s="64"/>
      <c r="J392" s="97"/>
    </row>
    <row r="393" spans="2:10" s="67" customFormat="1" ht="14.25">
      <c r="B393" s="67" t="s">
        <v>570</v>
      </c>
      <c r="C393" s="67" t="s">
        <v>571</v>
      </c>
      <c r="D393" s="67" t="s">
        <v>5</v>
      </c>
      <c r="E393" s="67">
        <v>4.944999999999999</v>
      </c>
      <c r="F393" s="68">
        <f>TRUNC(4.9942,2)</f>
        <v>4.99</v>
      </c>
      <c r="G393" s="63">
        <f t="shared" si="13"/>
        <v>24.67</v>
      </c>
      <c r="H393" s="63"/>
      <c r="I393" s="64"/>
      <c r="J393" s="97"/>
    </row>
    <row r="394" spans="2:10" s="67" customFormat="1" ht="14.25">
      <c r="B394" s="67" t="s">
        <v>572</v>
      </c>
      <c r="C394" s="67" t="s">
        <v>573</v>
      </c>
      <c r="D394" s="67" t="s">
        <v>5</v>
      </c>
      <c r="E394" s="67">
        <v>19.43385</v>
      </c>
      <c r="F394" s="68">
        <f>TRUNC(4.3137,2)</f>
        <v>4.31</v>
      </c>
      <c r="G394" s="63">
        <f t="shared" si="13"/>
        <v>83.75</v>
      </c>
      <c r="H394" s="63"/>
      <c r="I394" s="64"/>
      <c r="J394" s="97"/>
    </row>
    <row r="395" spans="2:10" s="67" customFormat="1" ht="14.25">
      <c r="B395" s="67" t="s">
        <v>568</v>
      </c>
      <c r="C395" s="67" t="s">
        <v>569</v>
      </c>
      <c r="D395" s="67" t="s">
        <v>5</v>
      </c>
      <c r="E395" s="67">
        <v>3.2648499999999996</v>
      </c>
      <c r="F395" s="68">
        <f>TRUNC(4.6561,2)</f>
        <v>4.65</v>
      </c>
      <c r="G395" s="63">
        <f t="shared" si="13"/>
        <v>15.18</v>
      </c>
      <c r="H395" s="63"/>
      <c r="I395" s="64"/>
      <c r="J395" s="97"/>
    </row>
    <row r="396" spans="2:10" s="67" customFormat="1" ht="14.25">
      <c r="B396" s="67" t="s">
        <v>580</v>
      </c>
      <c r="C396" s="67" t="s">
        <v>581</v>
      </c>
      <c r="D396" s="67" t="s">
        <v>12</v>
      </c>
      <c r="E396" s="67">
        <v>12</v>
      </c>
      <c r="F396" s="68">
        <f>TRUNC(0.14,2)</f>
        <v>0.14</v>
      </c>
      <c r="G396" s="63">
        <f t="shared" si="13"/>
        <v>1.68</v>
      </c>
      <c r="H396" s="63"/>
      <c r="I396" s="64"/>
      <c r="J396" s="97"/>
    </row>
    <row r="397" spans="2:10" s="67" customFormat="1" ht="14.25">
      <c r="B397" s="67" t="s">
        <v>578</v>
      </c>
      <c r="C397" s="67" t="s">
        <v>579</v>
      </c>
      <c r="D397" s="67" t="s">
        <v>12</v>
      </c>
      <c r="E397" s="67">
        <v>12</v>
      </c>
      <c r="F397" s="68">
        <f>TRUNC(0.06,2)</f>
        <v>0.06</v>
      </c>
      <c r="G397" s="63">
        <f t="shared" si="13"/>
        <v>0.72</v>
      </c>
      <c r="H397" s="63"/>
      <c r="I397" s="64"/>
      <c r="J397" s="97"/>
    </row>
    <row r="398" spans="2:10" s="67" customFormat="1" ht="14.25">
      <c r="B398" s="67" t="s">
        <v>584</v>
      </c>
      <c r="C398" s="67" t="s">
        <v>585</v>
      </c>
      <c r="D398" s="67" t="s">
        <v>3</v>
      </c>
      <c r="E398" s="67">
        <v>8.712</v>
      </c>
      <c r="F398" s="68">
        <f>TRUNC(29.1105,2)</f>
        <v>29.11</v>
      </c>
      <c r="G398" s="63">
        <f t="shared" si="13"/>
        <v>253.6</v>
      </c>
      <c r="H398" s="63"/>
      <c r="I398" s="64"/>
      <c r="J398" s="97"/>
    </row>
    <row r="399" spans="2:10" s="67" customFormat="1" ht="14.25">
      <c r="B399" s="67" t="s">
        <v>586</v>
      </c>
      <c r="C399" s="67" t="s">
        <v>587</v>
      </c>
      <c r="D399" s="67" t="s">
        <v>12</v>
      </c>
      <c r="E399" s="67">
        <v>12</v>
      </c>
      <c r="F399" s="68">
        <f>TRUNC(0.43,2)</f>
        <v>0.43</v>
      </c>
      <c r="G399" s="63">
        <f t="shared" si="13"/>
        <v>5.16</v>
      </c>
      <c r="H399" s="63"/>
      <c r="I399" s="64"/>
      <c r="J399" s="97"/>
    </row>
    <row r="400" spans="2:10" s="67" customFormat="1" ht="14.25">
      <c r="B400" s="67" t="s">
        <v>582</v>
      </c>
      <c r="C400" s="67" t="s">
        <v>583</v>
      </c>
      <c r="D400" s="67" t="s">
        <v>12</v>
      </c>
      <c r="E400" s="67">
        <v>4</v>
      </c>
      <c r="F400" s="68">
        <f>TRUNC(11,2)</f>
        <v>11</v>
      </c>
      <c r="G400" s="63">
        <f t="shared" si="13"/>
        <v>44</v>
      </c>
      <c r="H400" s="63"/>
      <c r="I400" s="64"/>
      <c r="J400" s="97"/>
    </row>
    <row r="401" spans="2:10" s="67" customFormat="1" ht="14.25">
      <c r="B401" s="67" t="s">
        <v>221</v>
      </c>
      <c r="C401" s="67" t="s">
        <v>222</v>
      </c>
      <c r="D401" s="67" t="s">
        <v>6</v>
      </c>
      <c r="E401" s="67">
        <v>12.36</v>
      </c>
      <c r="F401" s="68">
        <f>TRUNC(22.42,2)</f>
        <v>22.42</v>
      </c>
      <c r="G401" s="63">
        <f t="shared" si="13"/>
        <v>277.11</v>
      </c>
      <c r="H401" s="63"/>
      <c r="I401" s="64"/>
      <c r="J401" s="97"/>
    </row>
    <row r="402" spans="2:10" s="67" customFormat="1" ht="14.25">
      <c r="B402" s="67" t="s">
        <v>190</v>
      </c>
      <c r="C402" s="67" t="s">
        <v>191</v>
      </c>
      <c r="D402" s="67" t="s">
        <v>6</v>
      </c>
      <c r="E402" s="67">
        <v>12.36</v>
      </c>
      <c r="F402" s="68">
        <f>TRUNC(22.42,2)</f>
        <v>22.42</v>
      </c>
      <c r="G402" s="63">
        <f t="shared" si="13"/>
        <v>277.11</v>
      </c>
      <c r="H402" s="63"/>
      <c r="I402" s="64"/>
      <c r="J402" s="97"/>
    </row>
    <row r="403" spans="2:10" s="67" customFormat="1" ht="14.25">
      <c r="B403" s="67" t="s">
        <v>224</v>
      </c>
      <c r="C403" s="67" t="s">
        <v>225</v>
      </c>
      <c r="D403" s="67" t="s">
        <v>6</v>
      </c>
      <c r="E403" s="67">
        <v>3.3577999999999997</v>
      </c>
      <c r="F403" s="68">
        <f>TRUNC(20.83,2)</f>
        <v>20.83</v>
      </c>
      <c r="G403" s="63">
        <f t="shared" si="13"/>
        <v>69.94</v>
      </c>
      <c r="H403" s="63"/>
      <c r="I403" s="64"/>
      <c r="J403" s="97"/>
    </row>
    <row r="404" spans="2:10" s="67" customFormat="1" ht="14.25">
      <c r="B404" s="67" t="s">
        <v>188</v>
      </c>
      <c r="C404" s="67" t="s">
        <v>189</v>
      </c>
      <c r="D404" s="67" t="s">
        <v>6</v>
      </c>
      <c r="E404" s="67">
        <v>34.6183</v>
      </c>
      <c r="F404" s="68">
        <f>TRUNC(15.09,2)</f>
        <v>15.09</v>
      </c>
      <c r="G404" s="63">
        <f t="shared" si="13"/>
        <v>522.39</v>
      </c>
      <c r="H404" s="63"/>
      <c r="I404" s="64"/>
      <c r="J404" s="97"/>
    </row>
    <row r="405" spans="2:10" s="67" customFormat="1" ht="14.25">
      <c r="B405" s="67" t="s">
        <v>588</v>
      </c>
      <c r="C405" s="67" t="s">
        <v>589</v>
      </c>
      <c r="D405" s="67" t="s">
        <v>1</v>
      </c>
      <c r="E405" s="67">
        <v>0.064</v>
      </c>
      <c r="F405" s="68">
        <f>TRUNC(82.1031,2)</f>
        <v>82.1</v>
      </c>
      <c r="G405" s="63">
        <f t="shared" si="13"/>
        <v>5.25</v>
      </c>
      <c r="H405" s="63"/>
      <c r="I405" s="64"/>
      <c r="J405" s="97"/>
    </row>
    <row r="406" spans="2:10" s="67" customFormat="1" ht="14.25">
      <c r="B406" s="67" t="s">
        <v>590</v>
      </c>
      <c r="C406" s="67" t="s">
        <v>591</v>
      </c>
      <c r="D406" s="67" t="s">
        <v>1</v>
      </c>
      <c r="E406" s="67">
        <v>0.064</v>
      </c>
      <c r="F406" s="68">
        <f>TRUNC(101.7552,2)</f>
        <v>101.75</v>
      </c>
      <c r="G406" s="63">
        <f t="shared" si="13"/>
        <v>6.51</v>
      </c>
      <c r="H406" s="63"/>
      <c r="I406" s="64"/>
      <c r="J406" s="97"/>
    </row>
    <row r="407" spans="2:10" s="67" customFormat="1" ht="14.25">
      <c r="B407" s="67" t="s">
        <v>410</v>
      </c>
      <c r="C407" s="67" t="s">
        <v>411</v>
      </c>
      <c r="D407" s="67" t="s">
        <v>1</v>
      </c>
      <c r="E407" s="67">
        <v>0.064</v>
      </c>
      <c r="F407" s="68">
        <f>TRUNC(192.4416,2)</f>
        <v>192.44</v>
      </c>
      <c r="G407" s="63">
        <f t="shared" si="13"/>
        <v>12.31</v>
      </c>
      <c r="H407" s="63"/>
      <c r="I407" s="64"/>
      <c r="J407" s="97"/>
    </row>
    <row r="408" spans="5:10" s="67" customFormat="1" ht="14.25">
      <c r="E408" s="67" t="s">
        <v>7</v>
      </c>
      <c r="F408" s="68"/>
      <c r="G408" s="63">
        <f>TRUNC(SUM(G383:G407),2)</f>
        <v>2013.55</v>
      </c>
      <c r="H408" s="63"/>
      <c r="I408" s="64"/>
      <c r="J408" s="97"/>
    </row>
    <row r="409" spans="1:10" s="99" customFormat="1" ht="57">
      <c r="A409" s="99" t="s">
        <v>639</v>
      </c>
      <c r="B409" s="99" t="s">
        <v>556</v>
      </c>
      <c r="C409" s="99" t="s">
        <v>557</v>
      </c>
      <c r="D409" s="99" t="s">
        <v>12</v>
      </c>
      <c r="E409" s="99">
        <v>1</v>
      </c>
      <c r="F409" s="100">
        <f>TRUNC(G434,2)</f>
        <v>1637.84</v>
      </c>
      <c r="G409" s="101">
        <f>TRUNC(F409*1.2338,2)</f>
        <v>2020.76</v>
      </c>
      <c r="H409" s="101">
        <f>TRUNC(F409*E409,2)</f>
        <v>1637.84</v>
      </c>
      <c r="I409" s="102">
        <f>TRUNC(E409*G409,2)</f>
        <v>2020.76</v>
      </c>
      <c r="J409" s="114">
        <v>1932.63</v>
      </c>
    </row>
    <row r="410" spans="2:10" s="67" customFormat="1" ht="14.25">
      <c r="B410" s="67" t="s">
        <v>558</v>
      </c>
      <c r="C410" s="67" t="s">
        <v>559</v>
      </c>
      <c r="D410" s="67" t="s">
        <v>49</v>
      </c>
      <c r="E410" s="67">
        <v>0.044</v>
      </c>
      <c r="F410" s="68">
        <f>TRUNC(63.73,2)</f>
        <v>63.73</v>
      </c>
      <c r="G410" s="63">
        <f aca="true" t="shared" si="14" ref="G410:G433">TRUNC(E410*F410,2)</f>
        <v>2.8</v>
      </c>
      <c r="H410" s="63"/>
      <c r="I410" s="64"/>
      <c r="J410" s="97"/>
    </row>
    <row r="411" spans="2:10" s="67" customFormat="1" ht="14.25">
      <c r="B411" s="67" t="s">
        <v>50</v>
      </c>
      <c r="C411" s="67" t="s">
        <v>92</v>
      </c>
      <c r="D411" s="67" t="s">
        <v>49</v>
      </c>
      <c r="E411" s="67">
        <v>0.147</v>
      </c>
      <c r="F411" s="68">
        <f>TRUNC(57.05,2)</f>
        <v>57.05</v>
      </c>
      <c r="G411" s="63">
        <f t="shared" si="14"/>
        <v>8.38</v>
      </c>
      <c r="H411" s="63"/>
      <c r="I411" s="64"/>
      <c r="J411" s="97"/>
    </row>
    <row r="412" spans="2:10" s="67" customFormat="1" ht="14.25">
      <c r="B412" s="67" t="s">
        <v>560</v>
      </c>
      <c r="C412" s="67" t="s">
        <v>561</v>
      </c>
      <c r="D412" s="67" t="s">
        <v>49</v>
      </c>
      <c r="E412" s="67">
        <v>0.043</v>
      </c>
      <c r="F412" s="68">
        <f>TRUNC(54.62,2)</f>
        <v>54.62</v>
      </c>
      <c r="G412" s="63">
        <f t="shared" si="14"/>
        <v>2.34</v>
      </c>
      <c r="H412" s="63"/>
      <c r="I412" s="64"/>
      <c r="J412" s="97"/>
    </row>
    <row r="413" spans="2:10" s="67" customFormat="1" ht="14.25">
      <c r="B413" s="67" t="s">
        <v>166</v>
      </c>
      <c r="C413" s="67" t="s">
        <v>414</v>
      </c>
      <c r="D413" s="67" t="s">
        <v>3</v>
      </c>
      <c r="E413" s="67">
        <v>4.427499999999999</v>
      </c>
      <c r="F413" s="68">
        <f>TRUNC(51.7,2)</f>
        <v>51.7</v>
      </c>
      <c r="G413" s="63">
        <f t="shared" si="14"/>
        <v>228.9</v>
      </c>
      <c r="H413" s="63"/>
      <c r="I413" s="64"/>
      <c r="J413" s="97"/>
    </row>
    <row r="414" spans="2:10" s="67" customFormat="1" ht="14.25">
      <c r="B414" s="67" t="s">
        <v>562</v>
      </c>
      <c r="C414" s="67" t="s">
        <v>563</v>
      </c>
      <c r="D414" s="67" t="s">
        <v>49</v>
      </c>
      <c r="E414" s="67">
        <v>0.19</v>
      </c>
      <c r="F414" s="68">
        <f>TRUNC(35.28,2)</f>
        <v>35.28</v>
      </c>
      <c r="G414" s="63">
        <f t="shared" si="14"/>
        <v>6.7</v>
      </c>
      <c r="H414" s="63"/>
      <c r="I414" s="64"/>
      <c r="J414" s="97"/>
    </row>
    <row r="415" spans="2:10" s="67" customFormat="1" ht="14.25">
      <c r="B415" s="67" t="s">
        <v>564</v>
      </c>
      <c r="C415" s="67" t="s">
        <v>565</v>
      </c>
      <c r="D415" s="67" t="s">
        <v>5</v>
      </c>
      <c r="E415" s="67">
        <v>2.231</v>
      </c>
      <c r="F415" s="68">
        <f>TRUNC(4.1899,2)</f>
        <v>4.18</v>
      </c>
      <c r="G415" s="63">
        <f t="shared" si="14"/>
        <v>9.32</v>
      </c>
      <c r="H415" s="63"/>
      <c r="I415" s="64"/>
      <c r="J415" s="97"/>
    </row>
    <row r="416" spans="2:10" s="67" customFormat="1" ht="14.25">
      <c r="B416" s="67" t="s">
        <v>566</v>
      </c>
      <c r="C416" s="67" t="s">
        <v>567</v>
      </c>
      <c r="D416" s="67" t="s">
        <v>49</v>
      </c>
      <c r="E416" s="67">
        <v>0.06</v>
      </c>
      <c r="F416" s="68">
        <f>TRUNC(54.62,2)</f>
        <v>54.62</v>
      </c>
      <c r="G416" s="63">
        <f t="shared" si="14"/>
        <v>3.27</v>
      </c>
      <c r="H416" s="63"/>
      <c r="I416" s="64"/>
      <c r="J416" s="97"/>
    </row>
    <row r="417" spans="2:10" s="67" customFormat="1" ht="14.25">
      <c r="B417" s="67" t="s">
        <v>576</v>
      </c>
      <c r="C417" s="67" t="s">
        <v>577</v>
      </c>
      <c r="D417" s="67" t="s">
        <v>12</v>
      </c>
      <c r="E417" s="67">
        <v>16</v>
      </c>
      <c r="F417" s="68">
        <f>TRUNC(0.24,2)</f>
        <v>0.24</v>
      </c>
      <c r="G417" s="63">
        <f t="shared" si="14"/>
        <v>3.84</v>
      </c>
      <c r="H417" s="63"/>
      <c r="I417" s="64"/>
      <c r="J417" s="97"/>
    </row>
    <row r="418" spans="2:10" s="67" customFormat="1" ht="14.25">
      <c r="B418" s="67" t="s">
        <v>568</v>
      </c>
      <c r="C418" s="67" t="s">
        <v>569</v>
      </c>
      <c r="D418" s="67" t="s">
        <v>5</v>
      </c>
      <c r="E418" s="67">
        <v>3.2648499999999996</v>
      </c>
      <c r="F418" s="68">
        <f>TRUNC(4.6561,2)</f>
        <v>4.65</v>
      </c>
      <c r="G418" s="63">
        <f t="shared" si="14"/>
        <v>15.18</v>
      </c>
      <c r="H418" s="63"/>
      <c r="I418" s="64"/>
      <c r="J418" s="97"/>
    </row>
    <row r="419" spans="2:10" s="67" customFormat="1" ht="14.25">
      <c r="B419" s="67" t="s">
        <v>574</v>
      </c>
      <c r="C419" s="67" t="s">
        <v>575</v>
      </c>
      <c r="D419" s="67" t="s">
        <v>5</v>
      </c>
      <c r="E419" s="67">
        <v>9.424249999999999</v>
      </c>
      <c r="F419" s="68">
        <f>TRUNC(4.6368,2)</f>
        <v>4.63</v>
      </c>
      <c r="G419" s="63">
        <f t="shared" si="14"/>
        <v>43.63</v>
      </c>
      <c r="H419" s="63"/>
      <c r="I419" s="64"/>
      <c r="J419" s="97"/>
    </row>
    <row r="420" spans="2:10" s="67" customFormat="1" ht="14.25">
      <c r="B420" s="67" t="s">
        <v>570</v>
      </c>
      <c r="C420" s="67" t="s">
        <v>571</v>
      </c>
      <c r="D420" s="67" t="s">
        <v>5</v>
      </c>
      <c r="E420" s="67">
        <v>1.8882999999999996</v>
      </c>
      <c r="F420" s="68">
        <f>TRUNC(4.9942,2)</f>
        <v>4.99</v>
      </c>
      <c r="G420" s="63">
        <f t="shared" si="14"/>
        <v>9.42</v>
      </c>
      <c r="H420" s="63"/>
      <c r="I420" s="64"/>
      <c r="J420" s="97"/>
    </row>
    <row r="421" spans="2:10" s="67" customFormat="1" ht="14.25">
      <c r="B421" s="67" t="s">
        <v>572</v>
      </c>
      <c r="C421" s="67" t="s">
        <v>573</v>
      </c>
      <c r="D421" s="67" t="s">
        <v>5</v>
      </c>
      <c r="E421" s="67">
        <v>12.356749999999998</v>
      </c>
      <c r="F421" s="68">
        <f>TRUNC(4.3137,2)</f>
        <v>4.31</v>
      </c>
      <c r="G421" s="63">
        <f t="shared" si="14"/>
        <v>53.25</v>
      </c>
      <c r="H421" s="63"/>
      <c r="I421" s="64"/>
      <c r="J421" s="97"/>
    </row>
    <row r="422" spans="2:10" s="67" customFormat="1" ht="14.25">
      <c r="B422" s="67" t="s">
        <v>578</v>
      </c>
      <c r="C422" s="67" t="s">
        <v>579</v>
      </c>
      <c r="D422" s="67" t="s">
        <v>12</v>
      </c>
      <c r="E422" s="67">
        <v>12</v>
      </c>
      <c r="F422" s="68">
        <f>TRUNC(0.06,2)</f>
        <v>0.06</v>
      </c>
      <c r="G422" s="63">
        <f t="shared" si="14"/>
        <v>0.72</v>
      </c>
      <c r="H422" s="63"/>
      <c r="I422" s="64"/>
      <c r="J422" s="97"/>
    </row>
    <row r="423" spans="2:10" s="67" customFormat="1" ht="14.25">
      <c r="B423" s="67" t="s">
        <v>584</v>
      </c>
      <c r="C423" s="67" t="s">
        <v>585</v>
      </c>
      <c r="D423" s="67" t="s">
        <v>3</v>
      </c>
      <c r="E423" s="67">
        <v>3.96</v>
      </c>
      <c r="F423" s="68">
        <f>TRUNC(29.1105,2)</f>
        <v>29.11</v>
      </c>
      <c r="G423" s="63">
        <f t="shared" si="14"/>
        <v>115.27</v>
      </c>
      <c r="H423" s="63"/>
      <c r="I423" s="64"/>
      <c r="J423" s="97"/>
    </row>
    <row r="424" spans="2:10" s="67" customFormat="1" ht="14.25">
      <c r="B424" s="67" t="s">
        <v>586</v>
      </c>
      <c r="C424" s="67" t="s">
        <v>587</v>
      </c>
      <c r="D424" s="67" t="s">
        <v>12</v>
      </c>
      <c r="E424" s="67">
        <v>12</v>
      </c>
      <c r="F424" s="68">
        <f>TRUNC(0.43,2)</f>
        <v>0.43</v>
      </c>
      <c r="G424" s="63">
        <f t="shared" si="14"/>
        <v>5.16</v>
      </c>
      <c r="H424" s="63"/>
      <c r="I424" s="64"/>
      <c r="J424" s="97"/>
    </row>
    <row r="425" spans="2:10" s="67" customFormat="1" ht="14.25">
      <c r="B425" s="67" t="s">
        <v>582</v>
      </c>
      <c r="C425" s="67" t="s">
        <v>583</v>
      </c>
      <c r="D425" s="67" t="s">
        <v>12</v>
      </c>
      <c r="E425" s="67">
        <v>0.062</v>
      </c>
      <c r="F425" s="68">
        <f>TRUNC(11,2)</f>
        <v>11</v>
      </c>
      <c r="G425" s="63">
        <f t="shared" si="14"/>
        <v>0.68</v>
      </c>
      <c r="H425" s="63"/>
      <c r="I425" s="64"/>
      <c r="J425" s="97"/>
    </row>
    <row r="426" spans="2:10" s="67" customFormat="1" ht="14.25">
      <c r="B426" s="67" t="s">
        <v>580</v>
      </c>
      <c r="C426" s="67" t="s">
        <v>581</v>
      </c>
      <c r="D426" s="67" t="s">
        <v>12</v>
      </c>
      <c r="E426" s="67">
        <v>12</v>
      </c>
      <c r="F426" s="68">
        <f>TRUNC(0.14,2)</f>
        <v>0.14</v>
      </c>
      <c r="G426" s="63">
        <f t="shared" si="14"/>
        <v>1.68</v>
      </c>
      <c r="H426" s="63"/>
      <c r="I426" s="64"/>
      <c r="J426" s="97"/>
    </row>
    <row r="427" spans="2:10" s="67" customFormat="1" ht="14.25">
      <c r="B427" s="67" t="s">
        <v>221</v>
      </c>
      <c r="C427" s="67" t="s">
        <v>222</v>
      </c>
      <c r="D427" s="67" t="s">
        <v>6</v>
      </c>
      <c r="E427" s="67">
        <v>12.36</v>
      </c>
      <c r="F427" s="68">
        <f>TRUNC(22.42,2)</f>
        <v>22.42</v>
      </c>
      <c r="G427" s="63">
        <f t="shared" si="14"/>
        <v>277.11</v>
      </c>
      <c r="H427" s="63"/>
      <c r="I427" s="64"/>
      <c r="J427" s="97"/>
    </row>
    <row r="428" spans="2:10" s="67" customFormat="1" ht="14.25">
      <c r="B428" s="67" t="s">
        <v>190</v>
      </c>
      <c r="C428" s="67" t="s">
        <v>191</v>
      </c>
      <c r="D428" s="67" t="s">
        <v>6</v>
      </c>
      <c r="E428" s="67">
        <v>12.36</v>
      </c>
      <c r="F428" s="68">
        <f>TRUNC(22.42,2)</f>
        <v>22.42</v>
      </c>
      <c r="G428" s="63">
        <f t="shared" si="14"/>
        <v>277.11</v>
      </c>
      <c r="H428" s="63"/>
      <c r="I428" s="64"/>
      <c r="J428" s="97"/>
    </row>
    <row r="429" spans="2:10" s="67" customFormat="1" ht="14.25">
      <c r="B429" s="67" t="s">
        <v>224</v>
      </c>
      <c r="C429" s="67" t="s">
        <v>225</v>
      </c>
      <c r="D429" s="67" t="s">
        <v>6</v>
      </c>
      <c r="E429" s="67">
        <v>1.8231000000000002</v>
      </c>
      <c r="F429" s="68">
        <f>TRUNC(20.83,2)</f>
        <v>20.83</v>
      </c>
      <c r="G429" s="63">
        <f t="shared" si="14"/>
        <v>37.97</v>
      </c>
      <c r="H429" s="63"/>
      <c r="I429" s="64"/>
      <c r="J429" s="97"/>
    </row>
    <row r="430" spans="2:10" s="67" customFormat="1" ht="14.25">
      <c r="B430" s="67" t="s">
        <v>188</v>
      </c>
      <c r="C430" s="67" t="s">
        <v>189</v>
      </c>
      <c r="D430" s="67" t="s">
        <v>6</v>
      </c>
      <c r="E430" s="67">
        <v>33.866400000000006</v>
      </c>
      <c r="F430" s="68">
        <f>TRUNC(15.09,2)</f>
        <v>15.09</v>
      </c>
      <c r="G430" s="63">
        <f t="shared" si="14"/>
        <v>511.04</v>
      </c>
      <c r="H430" s="63"/>
      <c r="I430" s="64"/>
      <c r="J430" s="97"/>
    </row>
    <row r="431" spans="2:10" s="67" customFormat="1" ht="14.25">
      <c r="B431" s="67" t="s">
        <v>588</v>
      </c>
      <c r="C431" s="67" t="s">
        <v>589</v>
      </c>
      <c r="D431" s="67" t="s">
        <v>1</v>
      </c>
      <c r="E431" s="67">
        <v>0.064</v>
      </c>
      <c r="F431" s="68">
        <f>TRUNC(82.1031,2)</f>
        <v>82.1</v>
      </c>
      <c r="G431" s="63">
        <f t="shared" si="14"/>
        <v>5.25</v>
      </c>
      <c r="H431" s="63"/>
      <c r="I431" s="64"/>
      <c r="J431" s="97"/>
    </row>
    <row r="432" spans="2:10" s="67" customFormat="1" ht="14.25">
      <c r="B432" s="67" t="s">
        <v>590</v>
      </c>
      <c r="C432" s="67" t="s">
        <v>591</v>
      </c>
      <c r="D432" s="67" t="s">
        <v>1</v>
      </c>
      <c r="E432" s="67">
        <v>0.064</v>
      </c>
      <c r="F432" s="68">
        <f>TRUNC(101.7552,2)</f>
        <v>101.75</v>
      </c>
      <c r="G432" s="63">
        <f t="shared" si="14"/>
        <v>6.51</v>
      </c>
      <c r="H432" s="63"/>
      <c r="I432" s="64"/>
      <c r="J432" s="97"/>
    </row>
    <row r="433" spans="2:10" s="67" customFormat="1" ht="14.25">
      <c r="B433" s="67" t="s">
        <v>410</v>
      </c>
      <c r="C433" s="67" t="s">
        <v>411</v>
      </c>
      <c r="D433" s="67" t="s">
        <v>1</v>
      </c>
      <c r="E433" s="67">
        <v>0.064</v>
      </c>
      <c r="F433" s="68">
        <f>TRUNC(192.4416,2)</f>
        <v>192.44</v>
      </c>
      <c r="G433" s="63">
        <f t="shared" si="14"/>
        <v>12.31</v>
      </c>
      <c r="H433" s="63"/>
      <c r="I433" s="64"/>
      <c r="J433" s="97"/>
    </row>
    <row r="434" spans="5:10" s="67" customFormat="1" ht="14.25">
      <c r="E434" s="67" t="s">
        <v>7</v>
      </c>
      <c r="F434" s="68"/>
      <c r="G434" s="63">
        <f>TRUNC(SUM(G410:G433),2)</f>
        <v>1637.84</v>
      </c>
      <c r="H434" s="63"/>
      <c r="I434" s="64"/>
      <c r="J434" s="97"/>
    </row>
    <row r="435" spans="1:10" s="99" customFormat="1" ht="42.75">
      <c r="A435" s="99" t="s">
        <v>640</v>
      </c>
      <c r="B435" s="99" t="s">
        <v>596</v>
      </c>
      <c r="C435" s="99" t="s">
        <v>597</v>
      </c>
      <c r="D435" s="99" t="s">
        <v>12</v>
      </c>
      <c r="E435" s="99">
        <v>2</v>
      </c>
      <c r="F435" s="100">
        <f>TRUNC(G449,2)</f>
        <v>735.85</v>
      </c>
      <c r="G435" s="101">
        <f>TRUNC(F435*1.2338,2)</f>
        <v>907.89</v>
      </c>
      <c r="H435" s="101">
        <f>TRUNC(F435*E435,2)</f>
        <v>1471.7</v>
      </c>
      <c r="I435" s="102">
        <f>TRUNC(E435*G435,2)</f>
        <v>1815.78</v>
      </c>
      <c r="J435" s="114">
        <v>1823.54</v>
      </c>
    </row>
    <row r="436" spans="2:10" s="67" customFormat="1" ht="14.25">
      <c r="B436" s="67" t="s">
        <v>598</v>
      </c>
      <c r="C436" s="67" t="s">
        <v>599</v>
      </c>
      <c r="D436" s="67" t="s">
        <v>12</v>
      </c>
      <c r="E436" s="67">
        <v>14</v>
      </c>
      <c r="F436" s="68">
        <f>TRUNC(0.31,2)</f>
        <v>0.31</v>
      </c>
      <c r="G436" s="63">
        <f aca="true" t="shared" si="15" ref="G436:G448">TRUNC(E436*F436,2)</f>
        <v>4.34</v>
      </c>
      <c r="H436" s="63"/>
      <c r="I436" s="64"/>
      <c r="J436" s="97"/>
    </row>
    <row r="437" spans="2:10" s="67" customFormat="1" ht="14.25">
      <c r="B437" s="67" t="s">
        <v>584</v>
      </c>
      <c r="C437" s="67" t="s">
        <v>585</v>
      </c>
      <c r="D437" s="67" t="s">
        <v>3</v>
      </c>
      <c r="E437" s="67">
        <v>6.36</v>
      </c>
      <c r="F437" s="68">
        <f>TRUNC(29.1105,2)</f>
        <v>29.11</v>
      </c>
      <c r="G437" s="63">
        <f t="shared" si="15"/>
        <v>185.13</v>
      </c>
      <c r="H437" s="63"/>
      <c r="I437" s="64"/>
      <c r="J437" s="97"/>
    </row>
    <row r="438" spans="2:10" s="67" customFormat="1" ht="14.25">
      <c r="B438" s="67" t="s">
        <v>558</v>
      </c>
      <c r="C438" s="67" t="s">
        <v>559</v>
      </c>
      <c r="D438" s="67" t="s">
        <v>49</v>
      </c>
      <c r="E438" s="67">
        <v>1.8</v>
      </c>
      <c r="F438" s="68">
        <f>TRUNC(63.73,2)</f>
        <v>63.73</v>
      </c>
      <c r="G438" s="63">
        <f t="shared" si="15"/>
        <v>114.71</v>
      </c>
      <c r="H438" s="63"/>
      <c r="I438" s="64"/>
      <c r="J438" s="97"/>
    </row>
    <row r="439" spans="2:10" s="67" customFormat="1" ht="14.25">
      <c r="B439" s="67" t="s">
        <v>562</v>
      </c>
      <c r="C439" s="67" t="s">
        <v>563</v>
      </c>
      <c r="D439" s="67" t="s">
        <v>49</v>
      </c>
      <c r="E439" s="67">
        <v>0.085</v>
      </c>
      <c r="F439" s="68">
        <f>TRUNC(35.28,2)</f>
        <v>35.28</v>
      </c>
      <c r="G439" s="63">
        <f t="shared" si="15"/>
        <v>2.99</v>
      </c>
      <c r="H439" s="63"/>
      <c r="I439" s="64"/>
      <c r="J439" s="97"/>
    </row>
    <row r="440" spans="2:10" s="67" customFormat="1" ht="14.25">
      <c r="B440" s="67" t="s">
        <v>560</v>
      </c>
      <c r="C440" s="67" t="s">
        <v>561</v>
      </c>
      <c r="D440" s="67" t="s">
        <v>49</v>
      </c>
      <c r="E440" s="67">
        <v>0.04</v>
      </c>
      <c r="F440" s="68">
        <f>TRUNC(54.62,2)</f>
        <v>54.62</v>
      </c>
      <c r="G440" s="63">
        <f t="shared" si="15"/>
        <v>2.18</v>
      </c>
      <c r="H440" s="63"/>
      <c r="I440" s="64"/>
      <c r="J440" s="97"/>
    </row>
    <row r="441" spans="2:10" s="67" customFormat="1" ht="14.25">
      <c r="B441" s="67" t="s">
        <v>50</v>
      </c>
      <c r="C441" s="67" t="s">
        <v>92</v>
      </c>
      <c r="D441" s="67" t="s">
        <v>49</v>
      </c>
      <c r="E441" s="67">
        <v>3</v>
      </c>
      <c r="F441" s="68">
        <f>TRUNC(57.05,2)</f>
        <v>57.05</v>
      </c>
      <c r="G441" s="63">
        <f t="shared" si="15"/>
        <v>171.15</v>
      </c>
      <c r="H441" s="63"/>
      <c r="I441" s="64"/>
      <c r="J441" s="97"/>
    </row>
    <row r="442" spans="2:10" s="67" customFormat="1" ht="14.25">
      <c r="B442" s="67" t="s">
        <v>564</v>
      </c>
      <c r="C442" s="67" t="s">
        <v>565</v>
      </c>
      <c r="D442" s="67" t="s">
        <v>5</v>
      </c>
      <c r="E442" s="67">
        <v>0.44849999999999995</v>
      </c>
      <c r="F442" s="68">
        <f>TRUNC(4.1899,2)</f>
        <v>4.18</v>
      </c>
      <c r="G442" s="63">
        <f t="shared" si="15"/>
        <v>1.87</v>
      </c>
      <c r="H442" s="63"/>
      <c r="I442" s="64"/>
      <c r="J442" s="97"/>
    </row>
    <row r="443" spans="2:10" s="67" customFormat="1" ht="14.25">
      <c r="B443" s="67" t="s">
        <v>188</v>
      </c>
      <c r="C443" s="67" t="s">
        <v>189</v>
      </c>
      <c r="D443" s="67" t="s">
        <v>6</v>
      </c>
      <c r="E443" s="67">
        <v>3.1621</v>
      </c>
      <c r="F443" s="68">
        <f>TRUNC(15.09,2)</f>
        <v>15.09</v>
      </c>
      <c r="G443" s="63">
        <f t="shared" si="15"/>
        <v>47.71</v>
      </c>
      <c r="H443" s="63"/>
      <c r="I443" s="64"/>
      <c r="J443" s="97"/>
    </row>
    <row r="444" spans="2:10" s="67" customFormat="1" ht="14.25">
      <c r="B444" s="67" t="s">
        <v>190</v>
      </c>
      <c r="C444" s="67" t="s">
        <v>191</v>
      </c>
      <c r="D444" s="67" t="s">
        <v>6</v>
      </c>
      <c r="E444" s="67">
        <v>3.09</v>
      </c>
      <c r="F444" s="68">
        <f>TRUNC(22.42,2)</f>
        <v>22.42</v>
      </c>
      <c r="G444" s="63">
        <f t="shared" si="15"/>
        <v>69.27</v>
      </c>
      <c r="H444" s="63"/>
      <c r="I444" s="64"/>
      <c r="J444" s="97"/>
    </row>
    <row r="445" spans="2:10" s="67" customFormat="1" ht="14.25">
      <c r="B445" s="67" t="s">
        <v>224</v>
      </c>
      <c r="C445" s="67" t="s">
        <v>225</v>
      </c>
      <c r="D445" s="67" t="s">
        <v>6</v>
      </c>
      <c r="E445" s="67">
        <v>6.18</v>
      </c>
      <c r="F445" s="68">
        <f>TRUNC(20.83,2)</f>
        <v>20.83</v>
      </c>
      <c r="G445" s="63">
        <f t="shared" si="15"/>
        <v>128.72</v>
      </c>
      <c r="H445" s="63"/>
      <c r="I445" s="64"/>
      <c r="J445" s="97"/>
    </row>
    <row r="446" spans="2:10" s="67" customFormat="1" ht="14.25">
      <c r="B446" s="67" t="s">
        <v>588</v>
      </c>
      <c r="C446" s="67" t="s">
        <v>589</v>
      </c>
      <c r="D446" s="67" t="s">
        <v>1</v>
      </c>
      <c r="E446" s="67">
        <v>0.02</v>
      </c>
      <c r="F446" s="68">
        <f>TRUNC(82.1031,2)</f>
        <v>82.1</v>
      </c>
      <c r="G446" s="63">
        <f t="shared" si="15"/>
        <v>1.64</v>
      </c>
      <c r="H446" s="63"/>
      <c r="I446" s="64"/>
      <c r="J446" s="97"/>
    </row>
    <row r="447" spans="2:10" s="67" customFormat="1" ht="14.25">
      <c r="B447" s="67" t="s">
        <v>590</v>
      </c>
      <c r="C447" s="67" t="s">
        <v>591</v>
      </c>
      <c r="D447" s="67" t="s">
        <v>1</v>
      </c>
      <c r="E447" s="67">
        <v>0.02</v>
      </c>
      <c r="F447" s="68">
        <f>TRUNC(101.7552,2)</f>
        <v>101.75</v>
      </c>
      <c r="G447" s="63">
        <f t="shared" si="15"/>
        <v>2.03</v>
      </c>
      <c r="H447" s="63"/>
      <c r="I447" s="64"/>
      <c r="J447" s="97"/>
    </row>
    <row r="448" spans="2:10" s="67" customFormat="1" ht="14.25">
      <c r="B448" s="67" t="s">
        <v>435</v>
      </c>
      <c r="C448" s="67" t="s">
        <v>436</v>
      </c>
      <c r="D448" s="67" t="s">
        <v>1</v>
      </c>
      <c r="E448" s="67">
        <v>0.02</v>
      </c>
      <c r="F448" s="68">
        <f>TRUNC(205.6994,2)</f>
        <v>205.69</v>
      </c>
      <c r="G448" s="63">
        <f t="shared" si="15"/>
        <v>4.11</v>
      </c>
      <c r="H448" s="63"/>
      <c r="I448" s="64"/>
      <c r="J448" s="97"/>
    </row>
    <row r="449" spans="5:10" s="67" customFormat="1" ht="14.25">
      <c r="E449" s="67" t="s">
        <v>7</v>
      </c>
      <c r="F449" s="68"/>
      <c r="G449" s="63">
        <f>TRUNC(SUM(G436:G448),2)</f>
        <v>735.85</v>
      </c>
      <c r="H449" s="63"/>
      <c r="I449" s="64"/>
      <c r="J449" s="97"/>
    </row>
    <row r="450" spans="1:10" s="99" customFormat="1" ht="71.25">
      <c r="A450" s="99" t="s">
        <v>641</v>
      </c>
      <c r="B450" s="99" t="s">
        <v>600</v>
      </c>
      <c r="C450" s="99" t="s">
        <v>601</v>
      </c>
      <c r="D450" s="99" t="s">
        <v>12</v>
      </c>
      <c r="E450" s="99">
        <v>2</v>
      </c>
      <c r="F450" s="100">
        <f>TRUNC(G477,2)</f>
        <v>2379.52</v>
      </c>
      <c r="G450" s="101">
        <f>TRUNC(F450*1.2338,2)</f>
        <v>2935.85</v>
      </c>
      <c r="H450" s="101">
        <f>TRUNC(F450*E450,2)</f>
        <v>4759.04</v>
      </c>
      <c r="I450" s="102">
        <f>TRUNC(E450*G450,2)</f>
        <v>5871.7</v>
      </c>
      <c r="J450" s="114">
        <v>5790.66</v>
      </c>
    </row>
    <row r="451" spans="2:10" s="67" customFormat="1" ht="14.25">
      <c r="B451" s="67" t="s">
        <v>602</v>
      </c>
      <c r="C451" s="67" t="s">
        <v>603</v>
      </c>
      <c r="D451" s="67" t="s">
        <v>12</v>
      </c>
      <c r="E451" s="67">
        <v>8</v>
      </c>
      <c r="F451" s="68">
        <f>TRUNC(0.46,2)</f>
        <v>0.46</v>
      </c>
      <c r="G451" s="63">
        <f aca="true" t="shared" si="16" ref="G451:G476">TRUNC(E451*F451,2)</f>
        <v>3.68</v>
      </c>
      <c r="H451" s="63"/>
      <c r="I451" s="64"/>
      <c r="J451" s="97"/>
    </row>
    <row r="452" spans="2:10" s="67" customFormat="1" ht="14.25">
      <c r="B452" s="67" t="s">
        <v>560</v>
      </c>
      <c r="C452" s="67" t="s">
        <v>561</v>
      </c>
      <c r="D452" s="67" t="s">
        <v>49</v>
      </c>
      <c r="E452" s="67">
        <v>0.012</v>
      </c>
      <c r="F452" s="68">
        <f>TRUNC(54.62,2)</f>
        <v>54.62</v>
      </c>
      <c r="G452" s="63">
        <f t="shared" si="16"/>
        <v>0.65</v>
      </c>
      <c r="H452" s="63"/>
      <c r="I452" s="64"/>
      <c r="J452" s="97"/>
    </row>
    <row r="453" spans="2:10" s="67" customFormat="1" ht="14.25">
      <c r="B453" s="67" t="s">
        <v>166</v>
      </c>
      <c r="C453" s="67" t="s">
        <v>414</v>
      </c>
      <c r="D453" s="67" t="s">
        <v>3</v>
      </c>
      <c r="E453" s="67">
        <v>14.006999999999998</v>
      </c>
      <c r="F453" s="68">
        <f>TRUNC(51.7,2)</f>
        <v>51.7</v>
      </c>
      <c r="G453" s="63">
        <f t="shared" si="16"/>
        <v>724.16</v>
      </c>
      <c r="H453" s="63"/>
      <c r="I453" s="64"/>
      <c r="J453" s="97"/>
    </row>
    <row r="454" spans="2:10" s="67" customFormat="1" ht="14.25">
      <c r="B454" s="67" t="s">
        <v>594</v>
      </c>
      <c r="C454" s="67" t="s">
        <v>595</v>
      </c>
      <c r="D454" s="67" t="s">
        <v>3</v>
      </c>
      <c r="E454" s="67">
        <v>2.5357499999999997</v>
      </c>
      <c r="F454" s="68">
        <f>TRUNC(62.796,2)</f>
        <v>62.79</v>
      </c>
      <c r="G454" s="63">
        <f t="shared" si="16"/>
        <v>159.21</v>
      </c>
      <c r="H454" s="63"/>
      <c r="I454" s="64"/>
      <c r="J454" s="97"/>
    </row>
    <row r="455" spans="2:10" s="67" customFormat="1" ht="14.25">
      <c r="B455" s="67" t="s">
        <v>383</v>
      </c>
      <c r="C455" s="67" t="s">
        <v>384</v>
      </c>
      <c r="D455" s="67" t="s">
        <v>3</v>
      </c>
      <c r="E455" s="67">
        <v>1</v>
      </c>
      <c r="F455" s="68">
        <f>TRUNC(6.75,2)</f>
        <v>6.75</v>
      </c>
      <c r="G455" s="63">
        <f t="shared" si="16"/>
        <v>6.75</v>
      </c>
      <c r="H455" s="63"/>
      <c r="I455" s="64"/>
      <c r="J455" s="97"/>
    </row>
    <row r="456" spans="2:10" s="67" customFormat="1" ht="14.25">
      <c r="B456" s="67" t="s">
        <v>562</v>
      </c>
      <c r="C456" s="67" t="s">
        <v>563</v>
      </c>
      <c r="D456" s="67" t="s">
        <v>49</v>
      </c>
      <c r="E456" s="67">
        <v>0.05</v>
      </c>
      <c r="F456" s="68">
        <f>TRUNC(35.28,2)</f>
        <v>35.28</v>
      </c>
      <c r="G456" s="63">
        <f t="shared" si="16"/>
        <v>1.76</v>
      </c>
      <c r="H456" s="63"/>
      <c r="I456" s="64"/>
      <c r="J456" s="97"/>
    </row>
    <row r="457" spans="2:10" s="67" customFormat="1" ht="28.5">
      <c r="B457" s="67" t="s">
        <v>4</v>
      </c>
      <c r="C457" s="67" t="s">
        <v>71</v>
      </c>
      <c r="D457" s="67" t="s">
        <v>5</v>
      </c>
      <c r="E457" s="67">
        <v>0.4</v>
      </c>
      <c r="F457" s="68">
        <f>TRUNC(8.55,2)</f>
        <v>8.55</v>
      </c>
      <c r="G457" s="63">
        <f t="shared" si="16"/>
        <v>3.42</v>
      </c>
      <c r="H457" s="63"/>
      <c r="I457" s="64"/>
      <c r="J457" s="97"/>
    </row>
    <row r="458" spans="2:10" s="67" customFormat="1" ht="14.25">
      <c r="B458" s="67" t="s">
        <v>50</v>
      </c>
      <c r="C458" s="67" t="s">
        <v>92</v>
      </c>
      <c r="D458" s="67" t="s">
        <v>49</v>
      </c>
      <c r="E458" s="67">
        <v>0.19</v>
      </c>
      <c r="F458" s="68">
        <f>TRUNC(57.05,2)</f>
        <v>57.05</v>
      </c>
      <c r="G458" s="63">
        <f t="shared" si="16"/>
        <v>10.83</v>
      </c>
      <c r="H458" s="63"/>
      <c r="I458" s="64"/>
      <c r="J458" s="97"/>
    </row>
    <row r="459" spans="2:10" s="67" customFormat="1" ht="14.25">
      <c r="B459" s="67" t="s">
        <v>566</v>
      </c>
      <c r="C459" s="67" t="s">
        <v>567</v>
      </c>
      <c r="D459" s="67" t="s">
        <v>49</v>
      </c>
      <c r="E459" s="67">
        <v>0.017</v>
      </c>
      <c r="F459" s="68">
        <f>TRUNC(54.62,2)</f>
        <v>54.62</v>
      </c>
      <c r="G459" s="63">
        <f t="shared" si="16"/>
        <v>0.92</v>
      </c>
      <c r="H459" s="63"/>
      <c r="I459" s="64"/>
      <c r="J459" s="97"/>
    </row>
    <row r="460" spans="2:10" s="67" customFormat="1" ht="14.25">
      <c r="B460" s="67" t="s">
        <v>582</v>
      </c>
      <c r="C460" s="67" t="s">
        <v>583</v>
      </c>
      <c r="D460" s="67" t="s">
        <v>12</v>
      </c>
      <c r="E460" s="67">
        <v>4</v>
      </c>
      <c r="F460" s="68">
        <f>TRUNC(11,2)</f>
        <v>11</v>
      </c>
      <c r="G460" s="63">
        <f t="shared" si="16"/>
        <v>44</v>
      </c>
      <c r="H460" s="63"/>
      <c r="I460" s="64"/>
      <c r="J460" s="97"/>
    </row>
    <row r="461" spans="2:10" s="67" customFormat="1" ht="14.25">
      <c r="B461" s="67" t="s">
        <v>558</v>
      </c>
      <c r="C461" s="67" t="s">
        <v>559</v>
      </c>
      <c r="D461" s="67" t="s">
        <v>49</v>
      </c>
      <c r="E461" s="67">
        <v>0.1</v>
      </c>
      <c r="F461" s="68">
        <f>TRUNC(63.73,2)</f>
        <v>63.73</v>
      </c>
      <c r="G461" s="63">
        <f t="shared" si="16"/>
        <v>6.37</v>
      </c>
      <c r="H461" s="63"/>
      <c r="I461" s="64"/>
      <c r="J461" s="97"/>
    </row>
    <row r="462" spans="2:10" s="67" customFormat="1" ht="14.25">
      <c r="B462" s="67" t="s">
        <v>604</v>
      </c>
      <c r="C462" s="67" t="s">
        <v>605</v>
      </c>
      <c r="D462" s="67" t="s">
        <v>5</v>
      </c>
      <c r="E462" s="67">
        <v>21.402649999999998</v>
      </c>
      <c r="F462" s="68">
        <f>TRUNC(4.83,2)</f>
        <v>4.83</v>
      </c>
      <c r="G462" s="63">
        <f t="shared" si="16"/>
        <v>103.37</v>
      </c>
      <c r="H462" s="63"/>
      <c r="I462" s="64"/>
      <c r="J462" s="97"/>
    </row>
    <row r="463" spans="2:10" s="67" customFormat="1" ht="14.25">
      <c r="B463" s="67" t="s">
        <v>606</v>
      </c>
      <c r="C463" s="67" t="s">
        <v>607</v>
      </c>
      <c r="D463" s="67" t="s">
        <v>5</v>
      </c>
      <c r="E463" s="67">
        <v>5.1198</v>
      </c>
      <c r="F463" s="68">
        <f>TRUNC(4.4822,2)</f>
        <v>4.48</v>
      </c>
      <c r="G463" s="63">
        <f t="shared" si="16"/>
        <v>22.93</v>
      </c>
      <c r="H463" s="63"/>
      <c r="I463" s="64"/>
      <c r="J463" s="97"/>
    </row>
    <row r="464" spans="2:10" s="67" customFormat="1" ht="14.25">
      <c r="B464" s="67" t="s">
        <v>608</v>
      </c>
      <c r="C464" s="67" t="s">
        <v>609</v>
      </c>
      <c r="D464" s="67" t="s">
        <v>12</v>
      </c>
      <c r="E464" s="67">
        <v>4</v>
      </c>
      <c r="F464" s="68">
        <f>TRUNC(0.35,2)</f>
        <v>0.35</v>
      </c>
      <c r="G464" s="63">
        <f t="shared" si="16"/>
        <v>1.4</v>
      </c>
      <c r="H464" s="63"/>
      <c r="I464" s="64"/>
      <c r="J464" s="97"/>
    </row>
    <row r="465" spans="2:10" s="67" customFormat="1" ht="14.25">
      <c r="B465" s="67" t="s">
        <v>578</v>
      </c>
      <c r="C465" s="67" t="s">
        <v>579</v>
      </c>
      <c r="D465" s="67" t="s">
        <v>12</v>
      </c>
      <c r="E465" s="67">
        <v>18</v>
      </c>
      <c r="F465" s="68">
        <f>TRUNC(0.06,2)</f>
        <v>0.06</v>
      </c>
      <c r="G465" s="63">
        <f t="shared" si="16"/>
        <v>1.08</v>
      </c>
      <c r="H465" s="63"/>
      <c r="I465" s="64"/>
      <c r="J465" s="97"/>
    </row>
    <row r="466" spans="2:10" s="67" customFormat="1" ht="14.25">
      <c r="B466" s="67" t="s">
        <v>584</v>
      </c>
      <c r="C466" s="67" t="s">
        <v>585</v>
      </c>
      <c r="D466" s="67" t="s">
        <v>3</v>
      </c>
      <c r="E466" s="67">
        <v>1.162</v>
      </c>
      <c r="F466" s="68">
        <f>TRUNC(29.1105,2)</f>
        <v>29.11</v>
      </c>
      <c r="G466" s="63">
        <f t="shared" si="16"/>
        <v>33.82</v>
      </c>
      <c r="H466" s="63"/>
      <c r="I466" s="64"/>
      <c r="J466" s="97"/>
    </row>
    <row r="467" spans="2:10" s="67" customFormat="1" ht="14.25">
      <c r="B467" s="67" t="s">
        <v>614</v>
      </c>
      <c r="C467" s="67" t="s">
        <v>615</v>
      </c>
      <c r="D467" s="67" t="s">
        <v>3</v>
      </c>
      <c r="E467" s="67">
        <v>16</v>
      </c>
      <c r="F467" s="68">
        <f>TRUNC(7.25,2)</f>
        <v>7.25</v>
      </c>
      <c r="G467" s="63">
        <f t="shared" si="16"/>
        <v>116</v>
      </c>
      <c r="H467" s="63"/>
      <c r="I467" s="64"/>
      <c r="J467" s="97"/>
    </row>
    <row r="468" spans="2:10" s="67" customFormat="1" ht="14.25">
      <c r="B468" s="67" t="s">
        <v>586</v>
      </c>
      <c r="C468" s="67" t="s">
        <v>587</v>
      </c>
      <c r="D468" s="67" t="s">
        <v>12</v>
      </c>
      <c r="E468" s="67">
        <v>10</v>
      </c>
      <c r="F468" s="68">
        <f>TRUNC(0.43,2)</f>
        <v>0.43</v>
      </c>
      <c r="G468" s="63">
        <f t="shared" si="16"/>
        <v>4.3</v>
      </c>
      <c r="H468" s="63"/>
      <c r="I468" s="64"/>
      <c r="J468" s="97"/>
    </row>
    <row r="469" spans="2:10" s="67" customFormat="1" ht="14.25">
      <c r="B469" s="67" t="s">
        <v>612</v>
      </c>
      <c r="C469" s="67" t="s">
        <v>613</v>
      </c>
      <c r="D469" s="67" t="s">
        <v>12</v>
      </c>
      <c r="E469" s="67">
        <v>8</v>
      </c>
      <c r="F469" s="68">
        <f>TRUNC(0.48,2)</f>
        <v>0.48</v>
      </c>
      <c r="G469" s="63">
        <f t="shared" si="16"/>
        <v>3.84</v>
      </c>
      <c r="H469" s="63"/>
      <c r="I469" s="64"/>
      <c r="J469" s="97"/>
    </row>
    <row r="470" spans="2:10" s="67" customFormat="1" ht="14.25">
      <c r="B470" s="67" t="s">
        <v>610</v>
      </c>
      <c r="C470" s="67" t="s">
        <v>611</v>
      </c>
      <c r="D470" s="67" t="s">
        <v>12</v>
      </c>
      <c r="E470" s="67">
        <v>18</v>
      </c>
      <c r="F470" s="68">
        <f>TRUNC(0.1,2)</f>
        <v>0.1</v>
      </c>
      <c r="G470" s="63">
        <f t="shared" si="16"/>
        <v>1.8</v>
      </c>
      <c r="H470" s="63"/>
      <c r="I470" s="64"/>
      <c r="J470" s="97"/>
    </row>
    <row r="471" spans="2:10" s="67" customFormat="1" ht="14.25">
      <c r="B471" s="67" t="s">
        <v>221</v>
      </c>
      <c r="C471" s="67" t="s">
        <v>222</v>
      </c>
      <c r="D471" s="67" t="s">
        <v>6</v>
      </c>
      <c r="E471" s="67">
        <v>24.72</v>
      </c>
      <c r="F471" s="68">
        <f>TRUNC(22.42,2)</f>
        <v>22.42</v>
      </c>
      <c r="G471" s="63">
        <f t="shared" si="16"/>
        <v>554.22</v>
      </c>
      <c r="H471" s="63"/>
      <c r="I471" s="64"/>
      <c r="J471" s="97"/>
    </row>
    <row r="472" spans="2:10" s="67" customFormat="1" ht="14.25">
      <c r="B472" s="67" t="s">
        <v>224</v>
      </c>
      <c r="C472" s="67" t="s">
        <v>225</v>
      </c>
      <c r="D472" s="67" t="s">
        <v>6</v>
      </c>
      <c r="E472" s="67">
        <v>1.6788999999999998</v>
      </c>
      <c r="F472" s="68">
        <f>TRUNC(20.83,2)</f>
        <v>20.83</v>
      </c>
      <c r="G472" s="63">
        <f t="shared" si="16"/>
        <v>34.97</v>
      </c>
      <c r="H472" s="63"/>
      <c r="I472" s="64"/>
      <c r="J472" s="97"/>
    </row>
    <row r="473" spans="2:10" s="67" customFormat="1" ht="14.25">
      <c r="B473" s="67" t="s">
        <v>188</v>
      </c>
      <c r="C473" s="67" t="s">
        <v>189</v>
      </c>
      <c r="D473" s="67" t="s">
        <v>6</v>
      </c>
      <c r="E473" s="67">
        <v>33.7943</v>
      </c>
      <c r="F473" s="68">
        <f>TRUNC(15.09,2)</f>
        <v>15.09</v>
      </c>
      <c r="G473" s="63">
        <f t="shared" si="16"/>
        <v>509.95</v>
      </c>
      <c r="H473" s="63"/>
      <c r="I473" s="64"/>
      <c r="J473" s="97"/>
    </row>
    <row r="474" spans="2:10" s="67" customFormat="1" ht="14.25">
      <c r="B474" s="67" t="s">
        <v>588</v>
      </c>
      <c r="C474" s="67" t="s">
        <v>589</v>
      </c>
      <c r="D474" s="67" t="s">
        <v>1</v>
      </c>
      <c r="E474" s="67">
        <v>0.08</v>
      </c>
      <c r="F474" s="68">
        <f>TRUNC(82.1031,2)</f>
        <v>82.1</v>
      </c>
      <c r="G474" s="63">
        <f t="shared" si="16"/>
        <v>6.56</v>
      </c>
      <c r="H474" s="63"/>
      <c r="I474" s="64"/>
      <c r="J474" s="97"/>
    </row>
    <row r="475" spans="2:10" s="67" customFormat="1" ht="14.25">
      <c r="B475" s="67" t="s">
        <v>590</v>
      </c>
      <c r="C475" s="67" t="s">
        <v>591</v>
      </c>
      <c r="D475" s="67" t="s">
        <v>1</v>
      </c>
      <c r="E475" s="67">
        <v>0.08</v>
      </c>
      <c r="F475" s="68">
        <f>TRUNC(101.7552,2)</f>
        <v>101.75</v>
      </c>
      <c r="G475" s="63">
        <f t="shared" si="16"/>
        <v>8.14</v>
      </c>
      <c r="H475" s="63"/>
      <c r="I475" s="64"/>
      <c r="J475" s="97"/>
    </row>
    <row r="476" spans="2:10" s="67" customFormat="1" ht="14.25">
      <c r="B476" s="67" t="s">
        <v>410</v>
      </c>
      <c r="C476" s="67" t="s">
        <v>411</v>
      </c>
      <c r="D476" s="67" t="s">
        <v>1</v>
      </c>
      <c r="E476" s="67">
        <v>0.08</v>
      </c>
      <c r="F476" s="68">
        <f>TRUNC(192.4416,2)</f>
        <v>192.44</v>
      </c>
      <c r="G476" s="63">
        <f t="shared" si="16"/>
        <v>15.39</v>
      </c>
      <c r="H476" s="63"/>
      <c r="I476" s="64"/>
      <c r="J476" s="97"/>
    </row>
    <row r="477" spans="5:10" s="67" customFormat="1" ht="14.25">
      <c r="E477" s="67" t="s">
        <v>7</v>
      </c>
      <c r="F477" s="68"/>
      <c r="G477" s="63">
        <f>TRUNC(SUM(G451:G476),2)</f>
        <v>2379.52</v>
      </c>
      <c r="H477" s="63"/>
      <c r="I477" s="64"/>
      <c r="J477" s="97"/>
    </row>
    <row r="478" spans="1:10" s="99" customFormat="1" ht="57">
      <c r="A478" s="99" t="s">
        <v>642</v>
      </c>
      <c r="B478" s="99" t="s">
        <v>616</v>
      </c>
      <c r="C478" s="99" t="s">
        <v>617</v>
      </c>
      <c r="D478" s="99" t="s">
        <v>12</v>
      </c>
      <c r="E478" s="99">
        <v>1</v>
      </c>
      <c r="F478" s="100">
        <f>TRUNC(G499,2)</f>
        <v>2091.05</v>
      </c>
      <c r="G478" s="101">
        <f>TRUNC(F478*1.2338,2)</f>
        <v>2579.93</v>
      </c>
      <c r="H478" s="101">
        <f>TRUNC(F478*E478,2)</f>
        <v>2091.05</v>
      </c>
      <c r="I478" s="102">
        <f>TRUNC(E478*G478,2)</f>
        <v>2579.93</v>
      </c>
      <c r="J478" s="114">
        <v>2524.18</v>
      </c>
    </row>
    <row r="479" spans="2:10" s="67" customFormat="1" ht="14.25">
      <c r="B479" s="67" t="s">
        <v>620</v>
      </c>
      <c r="C479" s="67" t="s">
        <v>621</v>
      </c>
      <c r="D479" s="67" t="s">
        <v>12</v>
      </c>
      <c r="E479" s="67">
        <v>30</v>
      </c>
      <c r="F479" s="68">
        <f>TRUNC(0.32,2)</f>
        <v>0.32</v>
      </c>
      <c r="G479" s="63">
        <f aca="true" t="shared" si="17" ref="G479:G498">TRUNC(E479*F479,2)</f>
        <v>9.6</v>
      </c>
      <c r="H479" s="63"/>
      <c r="I479" s="64"/>
      <c r="J479" s="97"/>
    </row>
    <row r="480" spans="2:10" s="67" customFormat="1" ht="14.25">
      <c r="B480" s="67" t="s">
        <v>612</v>
      </c>
      <c r="C480" s="67" t="s">
        <v>613</v>
      </c>
      <c r="D480" s="67" t="s">
        <v>12</v>
      </c>
      <c r="E480" s="67">
        <v>16</v>
      </c>
      <c r="F480" s="68">
        <f>TRUNC(0.48,2)</f>
        <v>0.48</v>
      </c>
      <c r="G480" s="63">
        <f t="shared" si="17"/>
        <v>7.68</v>
      </c>
      <c r="H480" s="63"/>
      <c r="I480" s="64"/>
      <c r="J480" s="97"/>
    </row>
    <row r="481" spans="2:10" s="67" customFormat="1" ht="14.25">
      <c r="B481" s="67" t="s">
        <v>584</v>
      </c>
      <c r="C481" s="67" t="s">
        <v>585</v>
      </c>
      <c r="D481" s="67" t="s">
        <v>3</v>
      </c>
      <c r="E481" s="67">
        <v>12.83</v>
      </c>
      <c r="F481" s="68">
        <f>TRUNC(29.1105,2)</f>
        <v>29.11</v>
      </c>
      <c r="G481" s="63">
        <f t="shared" si="17"/>
        <v>373.48</v>
      </c>
      <c r="H481" s="63"/>
      <c r="I481" s="64"/>
      <c r="J481" s="97"/>
    </row>
    <row r="482" spans="2:10" s="67" customFormat="1" ht="14.25">
      <c r="B482" s="67" t="s">
        <v>578</v>
      </c>
      <c r="C482" s="67" t="s">
        <v>579</v>
      </c>
      <c r="D482" s="67" t="s">
        <v>12</v>
      </c>
      <c r="E482" s="67">
        <v>16</v>
      </c>
      <c r="F482" s="68">
        <f>TRUNC(0.06,2)</f>
        <v>0.06</v>
      </c>
      <c r="G482" s="63">
        <f t="shared" si="17"/>
        <v>0.96</v>
      </c>
      <c r="H482" s="63"/>
      <c r="I482" s="64"/>
      <c r="J482" s="97"/>
    </row>
    <row r="483" spans="2:10" s="67" customFormat="1" ht="14.25">
      <c r="B483" s="67" t="s">
        <v>568</v>
      </c>
      <c r="C483" s="67" t="s">
        <v>569</v>
      </c>
      <c r="D483" s="67" t="s">
        <v>5</v>
      </c>
      <c r="E483" s="67">
        <v>5.52</v>
      </c>
      <c r="F483" s="68">
        <f>TRUNC(4.6561,2)</f>
        <v>4.65</v>
      </c>
      <c r="G483" s="63">
        <f t="shared" si="17"/>
        <v>25.66</v>
      </c>
      <c r="H483" s="63"/>
      <c r="I483" s="64"/>
      <c r="J483" s="97"/>
    </row>
    <row r="484" spans="2:10" s="67" customFormat="1" ht="14.25">
      <c r="B484" s="67" t="s">
        <v>50</v>
      </c>
      <c r="C484" s="67" t="s">
        <v>92</v>
      </c>
      <c r="D484" s="67" t="s">
        <v>49</v>
      </c>
      <c r="E484" s="67">
        <v>0.2</v>
      </c>
      <c r="F484" s="68">
        <f>TRUNC(57.05,2)</f>
        <v>57.05</v>
      </c>
      <c r="G484" s="63">
        <f t="shared" si="17"/>
        <v>11.41</v>
      </c>
      <c r="H484" s="63"/>
      <c r="I484" s="64"/>
      <c r="J484" s="97"/>
    </row>
    <row r="485" spans="2:10" s="67" customFormat="1" ht="14.25">
      <c r="B485" s="67" t="s">
        <v>558</v>
      </c>
      <c r="C485" s="67" t="s">
        <v>559</v>
      </c>
      <c r="D485" s="67" t="s">
        <v>49</v>
      </c>
      <c r="E485" s="67">
        <v>0.07</v>
      </c>
      <c r="F485" s="68">
        <f>TRUNC(63.73,2)</f>
        <v>63.73</v>
      </c>
      <c r="G485" s="63">
        <f t="shared" si="17"/>
        <v>4.46</v>
      </c>
      <c r="H485" s="63"/>
      <c r="I485" s="64"/>
      <c r="J485" s="97"/>
    </row>
    <row r="486" spans="2:10" s="67" customFormat="1" ht="14.25">
      <c r="B486" s="67" t="s">
        <v>560</v>
      </c>
      <c r="C486" s="67" t="s">
        <v>561</v>
      </c>
      <c r="D486" s="67" t="s">
        <v>49</v>
      </c>
      <c r="E486" s="67">
        <v>0.11</v>
      </c>
      <c r="F486" s="68">
        <f>TRUNC(54.62,2)</f>
        <v>54.62</v>
      </c>
      <c r="G486" s="63">
        <f t="shared" si="17"/>
        <v>6</v>
      </c>
      <c r="H486" s="63"/>
      <c r="I486" s="64"/>
      <c r="J486" s="97"/>
    </row>
    <row r="487" spans="2:10" s="67" customFormat="1" ht="14.25">
      <c r="B487" s="67" t="s">
        <v>580</v>
      </c>
      <c r="C487" s="67" t="s">
        <v>581</v>
      </c>
      <c r="D487" s="67" t="s">
        <v>12</v>
      </c>
      <c r="E487" s="67">
        <v>16</v>
      </c>
      <c r="F487" s="68">
        <f>TRUNC(0.14,2)</f>
        <v>0.14</v>
      </c>
      <c r="G487" s="63">
        <f t="shared" si="17"/>
        <v>2.24</v>
      </c>
      <c r="H487" s="63"/>
      <c r="I487" s="64"/>
      <c r="J487" s="97"/>
    </row>
    <row r="488" spans="2:10" s="67" customFormat="1" ht="14.25">
      <c r="B488" s="67" t="s">
        <v>466</v>
      </c>
      <c r="C488" s="67" t="s">
        <v>467</v>
      </c>
      <c r="D488" s="67" t="s">
        <v>3</v>
      </c>
      <c r="E488" s="67">
        <v>8.452499999999999</v>
      </c>
      <c r="F488" s="68">
        <f>TRUNC(16.0989,2)</f>
        <v>16.09</v>
      </c>
      <c r="G488" s="63">
        <f t="shared" si="17"/>
        <v>136</v>
      </c>
      <c r="H488" s="63"/>
      <c r="I488" s="64"/>
      <c r="J488" s="97"/>
    </row>
    <row r="489" spans="2:10" s="67" customFormat="1" ht="14.25">
      <c r="B489" s="67" t="s">
        <v>618</v>
      </c>
      <c r="C489" s="67" t="s">
        <v>619</v>
      </c>
      <c r="D489" s="67" t="s">
        <v>5</v>
      </c>
      <c r="E489" s="67">
        <v>1.1155</v>
      </c>
      <c r="F489" s="68">
        <f>TRUNC(4.0973,2)</f>
        <v>4.09</v>
      </c>
      <c r="G489" s="63">
        <f t="shared" si="17"/>
        <v>4.56</v>
      </c>
      <c r="H489" s="63"/>
      <c r="I489" s="64"/>
      <c r="J489" s="97"/>
    </row>
    <row r="490" spans="2:10" s="67" customFormat="1" ht="14.25">
      <c r="B490" s="67" t="s">
        <v>166</v>
      </c>
      <c r="C490" s="67" t="s">
        <v>414</v>
      </c>
      <c r="D490" s="67" t="s">
        <v>3</v>
      </c>
      <c r="E490" s="67">
        <v>7.452</v>
      </c>
      <c r="F490" s="68">
        <f>TRUNC(51.7,2)</f>
        <v>51.7</v>
      </c>
      <c r="G490" s="63">
        <f t="shared" si="17"/>
        <v>385.26</v>
      </c>
      <c r="H490" s="63"/>
      <c r="I490" s="64"/>
      <c r="J490" s="97"/>
    </row>
    <row r="491" spans="2:10" s="67" customFormat="1" ht="14.25">
      <c r="B491" s="67" t="s">
        <v>562</v>
      </c>
      <c r="C491" s="67" t="s">
        <v>563</v>
      </c>
      <c r="D491" s="67" t="s">
        <v>49</v>
      </c>
      <c r="E491" s="67">
        <v>0.25</v>
      </c>
      <c r="F491" s="68">
        <f>TRUNC(35.28,2)</f>
        <v>35.28</v>
      </c>
      <c r="G491" s="63">
        <f t="shared" si="17"/>
        <v>8.82</v>
      </c>
      <c r="H491" s="63"/>
      <c r="I491" s="64"/>
      <c r="J491" s="97"/>
    </row>
    <row r="492" spans="2:10" s="67" customFormat="1" ht="14.25">
      <c r="B492" s="67" t="s">
        <v>190</v>
      </c>
      <c r="C492" s="67" t="s">
        <v>191</v>
      </c>
      <c r="D492" s="67" t="s">
        <v>6</v>
      </c>
      <c r="E492" s="67">
        <v>16.48</v>
      </c>
      <c r="F492" s="68">
        <f>TRUNC(22.42,2)</f>
        <v>22.42</v>
      </c>
      <c r="G492" s="63">
        <f t="shared" si="17"/>
        <v>369.48</v>
      </c>
      <c r="H492" s="63"/>
      <c r="I492" s="64"/>
      <c r="J492" s="97"/>
    </row>
    <row r="493" spans="2:10" s="67" customFormat="1" ht="14.25">
      <c r="B493" s="67" t="s">
        <v>224</v>
      </c>
      <c r="C493" s="67" t="s">
        <v>225</v>
      </c>
      <c r="D493" s="67" t="s">
        <v>6</v>
      </c>
      <c r="E493" s="67">
        <v>0.9064</v>
      </c>
      <c r="F493" s="68">
        <f>TRUNC(20.83,2)</f>
        <v>20.83</v>
      </c>
      <c r="G493" s="63">
        <f t="shared" si="17"/>
        <v>18.88</v>
      </c>
      <c r="H493" s="63"/>
      <c r="I493" s="64"/>
      <c r="J493" s="97"/>
    </row>
    <row r="494" spans="2:10" s="67" customFormat="1" ht="14.25">
      <c r="B494" s="67" t="s">
        <v>188</v>
      </c>
      <c r="C494" s="67" t="s">
        <v>189</v>
      </c>
      <c r="D494" s="67" t="s">
        <v>6</v>
      </c>
      <c r="E494" s="67">
        <v>33.413199999999996</v>
      </c>
      <c r="F494" s="68">
        <f>TRUNC(15.09,2)</f>
        <v>15.09</v>
      </c>
      <c r="G494" s="63">
        <f t="shared" si="17"/>
        <v>504.2</v>
      </c>
      <c r="H494" s="63"/>
      <c r="I494" s="64"/>
      <c r="J494" s="97"/>
    </row>
    <row r="495" spans="2:10" s="67" customFormat="1" ht="14.25">
      <c r="B495" s="67" t="s">
        <v>221</v>
      </c>
      <c r="C495" s="67" t="s">
        <v>222</v>
      </c>
      <c r="D495" s="67" t="s">
        <v>6</v>
      </c>
      <c r="E495" s="67">
        <v>8.24</v>
      </c>
      <c r="F495" s="68">
        <f>TRUNC(22.42,2)</f>
        <v>22.42</v>
      </c>
      <c r="G495" s="63">
        <f t="shared" si="17"/>
        <v>184.74</v>
      </c>
      <c r="H495" s="63"/>
      <c r="I495" s="64"/>
      <c r="J495" s="97"/>
    </row>
    <row r="496" spans="2:10" s="67" customFormat="1" ht="14.25">
      <c r="B496" s="67" t="s">
        <v>410</v>
      </c>
      <c r="C496" s="67" t="s">
        <v>411</v>
      </c>
      <c r="D496" s="67" t="s">
        <v>1</v>
      </c>
      <c r="E496" s="67">
        <v>0.1</v>
      </c>
      <c r="F496" s="68">
        <f>TRUNC(192.4416,2)</f>
        <v>192.44</v>
      </c>
      <c r="G496" s="63">
        <f t="shared" si="17"/>
        <v>19.24</v>
      </c>
      <c r="H496" s="63"/>
      <c r="I496" s="64"/>
      <c r="J496" s="97"/>
    </row>
    <row r="497" spans="2:10" s="67" customFormat="1" ht="14.25">
      <c r="B497" s="67" t="s">
        <v>590</v>
      </c>
      <c r="C497" s="67" t="s">
        <v>591</v>
      </c>
      <c r="D497" s="67" t="s">
        <v>1</v>
      </c>
      <c r="E497" s="67">
        <v>0.1</v>
      </c>
      <c r="F497" s="68">
        <f>TRUNC(101.7552,2)</f>
        <v>101.75</v>
      </c>
      <c r="G497" s="63">
        <f t="shared" si="17"/>
        <v>10.17</v>
      </c>
      <c r="H497" s="63"/>
      <c r="I497" s="64"/>
      <c r="J497" s="97"/>
    </row>
    <row r="498" spans="2:10" s="67" customFormat="1" ht="14.25">
      <c r="B498" s="67" t="s">
        <v>588</v>
      </c>
      <c r="C498" s="67" t="s">
        <v>589</v>
      </c>
      <c r="D498" s="67" t="s">
        <v>1</v>
      </c>
      <c r="E498" s="67">
        <v>0.1</v>
      </c>
      <c r="F498" s="68">
        <f>TRUNC(82.1031,2)</f>
        <v>82.1</v>
      </c>
      <c r="G498" s="63">
        <f t="shared" si="17"/>
        <v>8.21</v>
      </c>
      <c r="H498" s="63"/>
      <c r="I498" s="64"/>
      <c r="J498" s="97"/>
    </row>
    <row r="499" spans="5:10" s="67" customFormat="1" ht="14.25">
      <c r="E499" s="67" t="s">
        <v>7</v>
      </c>
      <c r="F499" s="68"/>
      <c r="G499" s="63">
        <f>TRUNC(SUM(G479:G498),2)</f>
        <v>2091.05</v>
      </c>
      <c r="H499" s="63"/>
      <c r="I499" s="64"/>
      <c r="J499" s="97"/>
    </row>
    <row r="500" spans="1:10" s="44" customFormat="1" ht="15.75">
      <c r="A500" s="53" t="s">
        <v>53</v>
      </c>
      <c r="B500" s="55"/>
      <c r="C500" s="54"/>
      <c r="D500" s="55"/>
      <c r="E500" s="55"/>
      <c r="F500" s="55" t="s">
        <v>323</v>
      </c>
      <c r="G500" s="55"/>
      <c r="H500" s="57">
        <f>H379+H376+H478+H450+H435+H409+H382</f>
        <v>13998.029999999999</v>
      </c>
      <c r="I500" s="57">
        <f>I379+I376+I478+I450+I435+I409+I382</f>
        <v>17270.730000000003</v>
      </c>
      <c r="J500" s="96">
        <v>17111.33</v>
      </c>
    </row>
    <row r="501" spans="1:10" s="43" customFormat="1" ht="15.75">
      <c r="A501" s="43" t="s">
        <v>309</v>
      </c>
      <c r="B501" s="51"/>
      <c r="C501" s="52" t="s">
        <v>544</v>
      </c>
      <c r="D501" s="52"/>
      <c r="E501" s="52"/>
      <c r="F501" s="52"/>
      <c r="G501" s="52"/>
      <c r="H501" s="52"/>
      <c r="I501" s="50"/>
      <c r="J501" s="94"/>
    </row>
    <row r="502" spans="1:10" s="99" customFormat="1" ht="28.5">
      <c r="A502" s="99" t="s">
        <v>310</v>
      </c>
      <c r="B502" s="99" t="s">
        <v>858</v>
      </c>
      <c r="C502" s="99" t="s">
        <v>545</v>
      </c>
      <c r="D502" s="99" t="s">
        <v>0</v>
      </c>
      <c r="E502" s="99">
        <v>328.5</v>
      </c>
      <c r="F502" s="100">
        <f>TRUNC(G512,2)</f>
        <v>62.04</v>
      </c>
      <c r="G502" s="101">
        <f>TRUNC(F502*1.2338,2)</f>
        <v>76.54</v>
      </c>
      <c r="H502" s="101">
        <f>TRUNC(F502*E502,2)</f>
        <v>20380.14</v>
      </c>
      <c r="I502" s="102">
        <f>TRUNC(E502*G502,2)</f>
        <v>25143.39</v>
      </c>
      <c r="J502" s="114">
        <v>25550.73</v>
      </c>
    </row>
    <row r="503" spans="2:10" s="67" customFormat="1" ht="42.75">
      <c r="B503" s="67" t="s">
        <v>859</v>
      </c>
      <c r="C503" s="67" t="s">
        <v>546</v>
      </c>
      <c r="D503" s="67" t="s">
        <v>0</v>
      </c>
      <c r="E503" s="67">
        <v>1.0533</v>
      </c>
      <c r="F503" s="68">
        <f>TRUNC(34.55,2)</f>
        <v>34.55</v>
      </c>
      <c r="G503" s="63">
        <f aca="true" t="shared" si="18" ref="G503:G511">TRUNC(E503*F503,2)</f>
        <v>36.39</v>
      </c>
      <c r="H503" s="63"/>
      <c r="I503" s="64"/>
      <c r="J503" s="97"/>
    </row>
    <row r="504" spans="2:10" s="67" customFormat="1" ht="14.25">
      <c r="B504" s="67" t="s">
        <v>860</v>
      </c>
      <c r="C504" s="67" t="s">
        <v>547</v>
      </c>
      <c r="D504" s="67" t="s">
        <v>1</v>
      </c>
      <c r="E504" s="67">
        <v>0.0064</v>
      </c>
      <c r="F504" s="68">
        <f>TRUNC(55.84,2)</f>
        <v>55.84</v>
      </c>
      <c r="G504" s="63">
        <f t="shared" si="18"/>
        <v>0.35</v>
      </c>
      <c r="H504" s="63"/>
      <c r="I504" s="64"/>
      <c r="J504" s="97"/>
    </row>
    <row r="505" spans="2:10" s="67" customFormat="1" ht="14.25">
      <c r="B505" s="67" t="s">
        <v>861</v>
      </c>
      <c r="C505" s="67" t="s">
        <v>548</v>
      </c>
      <c r="D505" s="67" t="s">
        <v>1</v>
      </c>
      <c r="E505" s="67">
        <v>0.0568</v>
      </c>
      <c r="F505" s="68">
        <f>TRUNC(51.43,2)</f>
        <v>51.43</v>
      </c>
      <c r="G505" s="63">
        <f t="shared" si="18"/>
        <v>2.92</v>
      </c>
      <c r="H505" s="63"/>
      <c r="I505" s="64"/>
      <c r="J505" s="97"/>
    </row>
    <row r="506" spans="2:10" s="67" customFormat="1" ht="14.25">
      <c r="B506" s="67" t="s">
        <v>817</v>
      </c>
      <c r="C506" s="67" t="s">
        <v>127</v>
      </c>
      <c r="D506" s="67" t="s">
        <v>6</v>
      </c>
      <c r="E506" s="67">
        <v>0.4352</v>
      </c>
      <c r="F506" s="68">
        <f>TRUNC(21.86,2)</f>
        <v>21.86</v>
      </c>
      <c r="G506" s="63">
        <f t="shared" si="18"/>
        <v>9.51</v>
      </c>
      <c r="H506" s="63"/>
      <c r="I506" s="64"/>
      <c r="J506" s="97"/>
    </row>
    <row r="507" spans="2:10" s="67" customFormat="1" ht="14.25">
      <c r="B507" s="67" t="s">
        <v>819</v>
      </c>
      <c r="C507" s="67" t="s">
        <v>527</v>
      </c>
      <c r="D507" s="67" t="s">
        <v>6</v>
      </c>
      <c r="E507" s="67">
        <v>0.4352</v>
      </c>
      <c r="F507" s="68">
        <f>TRUNC(27.84,2)</f>
        <v>27.84</v>
      </c>
      <c r="G507" s="63">
        <f t="shared" si="18"/>
        <v>12.11</v>
      </c>
      <c r="H507" s="63"/>
      <c r="I507" s="64"/>
      <c r="J507" s="97"/>
    </row>
    <row r="508" spans="2:10" s="67" customFormat="1" ht="42.75">
      <c r="B508" s="67" t="s">
        <v>862</v>
      </c>
      <c r="C508" s="67" t="s">
        <v>863</v>
      </c>
      <c r="D508" s="67" t="s">
        <v>385</v>
      </c>
      <c r="E508" s="67">
        <v>0.1693</v>
      </c>
      <c r="F508" s="68">
        <f>TRUNC(0.65,2)</f>
        <v>0.65</v>
      </c>
      <c r="G508" s="63">
        <f t="shared" si="18"/>
        <v>0.11</v>
      </c>
      <c r="H508" s="63"/>
      <c r="I508" s="64"/>
      <c r="J508" s="97"/>
    </row>
    <row r="509" spans="2:10" s="67" customFormat="1" ht="42.75">
      <c r="B509" s="67" t="s">
        <v>864</v>
      </c>
      <c r="C509" s="67" t="s">
        <v>865</v>
      </c>
      <c r="D509" s="67" t="s">
        <v>52</v>
      </c>
      <c r="E509" s="67">
        <v>0.0483</v>
      </c>
      <c r="F509" s="68">
        <f>TRUNC(10.61,2)</f>
        <v>10.61</v>
      </c>
      <c r="G509" s="63">
        <f t="shared" si="18"/>
        <v>0.51</v>
      </c>
      <c r="H509" s="63"/>
      <c r="I509" s="64"/>
      <c r="J509" s="97"/>
    </row>
    <row r="510" spans="2:10" s="67" customFormat="1" ht="28.5">
      <c r="B510" s="67" t="s">
        <v>866</v>
      </c>
      <c r="C510" s="67" t="s">
        <v>867</v>
      </c>
      <c r="D510" s="67" t="s">
        <v>385</v>
      </c>
      <c r="E510" s="67">
        <v>0.2135</v>
      </c>
      <c r="F510" s="68">
        <f>TRUNC(0.58,2)</f>
        <v>0.58</v>
      </c>
      <c r="G510" s="63">
        <f t="shared" si="18"/>
        <v>0.12</v>
      </c>
      <c r="H510" s="63"/>
      <c r="I510" s="64"/>
      <c r="J510" s="97"/>
    </row>
    <row r="511" spans="2:10" s="67" customFormat="1" ht="28.5">
      <c r="B511" s="67" t="s">
        <v>868</v>
      </c>
      <c r="C511" s="67" t="s">
        <v>869</v>
      </c>
      <c r="D511" s="67" t="s">
        <v>52</v>
      </c>
      <c r="E511" s="67">
        <v>0.0041</v>
      </c>
      <c r="F511" s="68">
        <f>TRUNC(5.02,2)</f>
        <v>5.02</v>
      </c>
      <c r="G511" s="63">
        <f t="shared" si="18"/>
        <v>0.02</v>
      </c>
      <c r="H511" s="63"/>
      <c r="I511" s="64"/>
      <c r="J511" s="97"/>
    </row>
    <row r="512" spans="5:10" s="67" customFormat="1" ht="14.25">
      <c r="E512" s="67" t="s">
        <v>7</v>
      </c>
      <c r="F512" s="68"/>
      <c r="G512" s="63">
        <f>TRUNC(SUM(G503:G511),2)</f>
        <v>62.04</v>
      </c>
      <c r="H512" s="63"/>
      <c r="I512" s="64"/>
      <c r="J512" s="97"/>
    </row>
    <row r="513" spans="1:10" s="99" customFormat="1" ht="42.75">
      <c r="A513" s="99" t="s">
        <v>311</v>
      </c>
      <c r="B513" s="99" t="s">
        <v>870</v>
      </c>
      <c r="C513" s="99" t="s">
        <v>549</v>
      </c>
      <c r="D513" s="99" t="s">
        <v>3</v>
      </c>
      <c r="E513" s="99">
        <v>79.46</v>
      </c>
      <c r="F513" s="100">
        <f>TRUNC(G519,2)</f>
        <v>37.57</v>
      </c>
      <c r="G513" s="101">
        <f>TRUNC(F513*1.2338,2)</f>
        <v>46.35</v>
      </c>
      <c r="H513" s="101">
        <f>TRUNC(F513*E513,2)</f>
        <v>2985.31</v>
      </c>
      <c r="I513" s="102">
        <f>TRUNC(E513*G513,2)</f>
        <v>3682.97</v>
      </c>
      <c r="J513" s="114">
        <v>3692.5</v>
      </c>
    </row>
    <row r="514" spans="2:10" s="67" customFormat="1" ht="14.25">
      <c r="B514" s="67" t="s">
        <v>871</v>
      </c>
      <c r="C514" s="67" t="s">
        <v>550</v>
      </c>
      <c r="D514" s="67" t="s">
        <v>3</v>
      </c>
      <c r="E514" s="67">
        <v>1.005</v>
      </c>
      <c r="F514" s="68">
        <f>TRUNC(18.75,2)</f>
        <v>18.75</v>
      </c>
      <c r="G514" s="63">
        <f>TRUNC(E514*F514,2)</f>
        <v>18.84</v>
      </c>
      <c r="H514" s="63"/>
      <c r="I514" s="64"/>
      <c r="J514" s="97"/>
    </row>
    <row r="515" spans="2:10" s="67" customFormat="1" ht="14.25">
      <c r="B515" s="67" t="s">
        <v>861</v>
      </c>
      <c r="C515" s="67" t="s">
        <v>548</v>
      </c>
      <c r="D515" s="67" t="s">
        <v>1</v>
      </c>
      <c r="E515" s="67">
        <v>0.007</v>
      </c>
      <c r="F515" s="68">
        <f>TRUNC(51.43,2)</f>
        <v>51.43</v>
      </c>
      <c r="G515" s="63">
        <f>TRUNC(E515*F515,2)</f>
        <v>0.36</v>
      </c>
      <c r="H515" s="63"/>
      <c r="I515" s="64"/>
      <c r="J515" s="97"/>
    </row>
    <row r="516" spans="2:10" s="67" customFormat="1" ht="14.25">
      <c r="B516" s="67" t="s">
        <v>817</v>
      </c>
      <c r="C516" s="67" t="s">
        <v>127</v>
      </c>
      <c r="D516" s="67" t="s">
        <v>6</v>
      </c>
      <c r="E516" s="67">
        <v>0.36</v>
      </c>
      <c r="F516" s="68">
        <f>TRUNC(21.86,2)</f>
        <v>21.86</v>
      </c>
      <c r="G516" s="63">
        <f>TRUNC(E516*F516,2)</f>
        <v>7.86</v>
      </c>
      <c r="H516" s="63"/>
      <c r="I516" s="64"/>
      <c r="J516" s="97"/>
    </row>
    <row r="517" spans="2:10" s="67" customFormat="1" ht="14.25">
      <c r="B517" s="67" t="s">
        <v>824</v>
      </c>
      <c r="C517" s="67" t="s">
        <v>307</v>
      </c>
      <c r="D517" s="67" t="s">
        <v>6</v>
      </c>
      <c r="E517" s="67">
        <v>0.36</v>
      </c>
      <c r="F517" s="68">
        <f>TRUNC(28,2)</f>
        <v>28</v>
      </c>
      <c r="G517" s="63">
        <f>TRUNC(E517*F517,2)</f>
        <v>10.08</v>
      </c>
      <c r="H517" s="63"/>
      <c r="I517" s="64"/>
      <c r="J517" s="97"/>
    </row>
    <row r="518" spans="2:10" s="67" customFormat="1" ht="28.5">
      <c r="B518" s="67" t="s">
        <v>872</v>
      </c>
      <c r="C518" s="67" t="s">
        <v>873</v>
      </c>
      <c r="D518" s="67" t="s">
        <v>1</v>
      </c>
      <c r="E518" s="67">
        <v>0.001</v>
      </c>
      <c r="F518" s="68">
        <f>TRUNC(430.72,2)</f>
        <v>430.72</v>
      </c>
      <c r="G518" s="63">
        <f>TRUNC(E518*F518,2)</f>
        <v>0.43</v>
      </c>
      <c r="H518" s="63"/>
      <c r="I518" s="64"/>
      <c r="J518" s="97"/>
    </row>
    <row r="519" spans="5:10" s="67" customFormat="1" ht="14.25">
      <c r="E519" s="67" t="s">
        <v>7</v>
      </c>
      <c r="F519" s="68"/>
      <c r="G519" s="63">
        <f>TRUNC(SUM(G514:G518),2)</f>
        <v>37.57</v>
      </c>
      <c r="H519" s="63"/>
      <c r="I519" s="64"/>
      <c r="J519" s="97"/>
    </row>
    <row r="520" spans="1:10" s="99" customFormat="1" ht="65.25" customHeight="1">
      <c r="A520" s="99" t="s">
        <v>441</v>
      </c>
      <c r="B520" s="99" t="s">
        <v>874</v>
      </c>
      <c r="C520" s="99" t="s">
        <v>632</v>
      </c>
      <c r="D520" s="99" t="s">
        <v>0</v>
      </c>
      <c r="E520" s="99">
        <v>250.54</v>
      </c>
      <c r="F520" s="100">
        <f>TRUNC(G523,2)</f>
        <v>10.63</v>
      </c>
      <c r="G520" s="101">
        <f>TRUNC(F520*1.2338,2)</f>
        <v>13.11</v>
      </c>
      <c r="H520" s="101">
        <f>TRUNC(F520*E520,2)</f>
        <v>2663.24</v>
      </c>
      <c r="I520" s="102">
        <f>TRUNC(E520*G520,2)</f>
        <v>3284.57</v>
      </c>
      <c r="J520" s="114">
        <v>3179.35</v>
      </c>
    </row>
    <row r="521" spans="2:10" s="67" customFormat="1" ht="14.25">
      <c r="B521" s="67" t="s">
        <v>551</v>
      </c>
      <c r="C521" s="67" t="s">
        <v>552</v>
      </c>
      <c r="D521" s="67" t="s">
        <v>0</v>
      </c>
      <c r="E521" s="67">
        <v>1.02</v>
      </c>
      <c r="F521" s="68">
        <v>4.15</v>
      </c>
      <c r="G521" s="63">
        <f>TRUNC(E521*F521,2)</f>
        <v>4.23</v>
      </c>
      <c r="H521" s="63"/>
      <c r="I521" s="64"/>
      <c r="J521" s="97"/>
    </row>
    <row r="522" spans="2:10" s="67" customFormat="1" ht="28.5">
      <c r="B522" s="67" t="s">
        <v>528</v>
      </c>
      <c r="C522" s="67" t="s">
        <v>529</v>
      </c>
      <c r="D522" s="67" t="s">
        <v>6</v>
      </c>
      <c r="E522" s="67">
        <v>0.515</v>
      </c>
      <c r="F522" s="68">
        <f>TRUNC(12.44,2)</f>
        <v>12.44</v>
      </c>
      <c r="G522" s="63">
        <f>TRUNC(E522*F522,2)</f>
        <v>6.4</v>
      </c>
      <c r="H522" s="63"/>
      <c r="I522" s="64"/>
      <c r="J522" s="97"/>
    </row>
    <row r="523" spans="5:10" s="67" customFormat="1" ht="14.25">
      <c r="E523" s="67" t="s">
        <v>7</v>
      </c>
      <c r="F523" s="68"/>
      <c r="G523" s="63">
        <f>TRUNC(SUM(G521:G522),2)</f>
        <v>10.63</v>
      </c>
      <c r="H523" s="63"/>
      <c r="I523" s="64"/>
      <c r="J523" s="97"/>
    </row>
    <row r="524" spans="1:10" s="99" customFormat="1" ht="28.5">
      <c r="A524" s="99" t="s">
        <v>480</v>
      </c>
      <c r="B524" s="99" t="s">
        <v>554</v>
      </c>
      <c r="C524" s="99" t="s">
        <v>555</v>
      </c>
      <c r="D524" s="99" t="s">
        <v>1</v>
      </c>
      <c r="E524" s="99">
        <v>1.31</v>
      </c>
      <c r="F524" s="100">
        <f>TRUNC(G526,2)</f>
        <v>17.87</v>
      </c>
      <c r="G524" s="101">
        <f>TRUNC(F524*1.2338,2)</f>
        <v>22.04</v>
      </c>
      <c r="H524" s="101">
        <f>TRUNC(F524*E524,2)</f>
        <v>23.4</v>
      </c>
      <c r="I524" s="102">
        <f>TRUNC(E524*G524,2)</f>
        <v>28.87</v>
      </c>
      <c r="J524" s="114">
        <v>26.33</v>
      </c>
    </row>
    <row r="525" spans="2:10" s="67" customFormat="1" ht="14.25">
      <c r="B525" s="67" t="s">
        <v>188</v>
      </c>
      <c r="C525" s="67" t="s">
        <v>189</v>
      </c>
      <c r="D525" s="67" t="s">
        <v>6</v>
      </c>
      <c r="E525" s="67">
        <v>1.1844999999999999</v>
      </c>
      <c r="F525" s="68">
        <f>TRUNC(15.09,2)</f>
        <v>15.09</v>
      </c>
      <c r="G525" s="63">
        <f>TRUNC(E525*F525,2)</f>
        <v>17.87</v>
      </c>
      <c r="H525" s="63"/>
      <c r="I525" s="64"/>
      <c r="J525" s="97"/>
    </row>
    <row r="526" spans="5:10" s="67" customFormat="1" ht="14.25">
      <c r="E526" s="67" t="s">
        <v>7</v>
      </c>
      <c r="F526" s="68"/>
      <c r="G526" s="63">
        <f>TRUNC(SUM(G525:G525),2)</f>
        <v>17.87</v>
      </c>
      <c r="H526" s="63"/>
      <c r="I526" s="64"/>
      <c r="J526" s="97"/>
    </row>
    <row r="527" spans="1:10" s="99" customFormat="1" ht="14.25">
      <c r="A527" s="99" t="s">
        <v>481</v>
      </c>
      <c r="B527" s="99" t="s">
        <v>622</v>
      </c>
      <c r="C527" s="99" t="s">
        <v>623</v>
      </c>
      <c r="D527" s="99" t="s">
        <v>3</v>
      </c>
      <c r="E527" s="99">
        <v>493.03</v>
      </c>
      <c r="F527" s="100">
        <f>TRUNC(G531,2)</f>
        <v>0.51</v>
      </c>
      <c r="G527" s="101">
        <f>TRUNC(F527*1.2338,2)</f>
        <v>0.62</v>
      </c>
      <c r="H527" s="101">
        <f>TRUNC(F527*E527,2)</f>
        <v>251.44</v>
      </c>
      <c r="I527" s="102">
        <f>TRUNC(E527*G527,2)</f>
        <v>305.67</v>
      </c>
      <c r="J527" s="114">
        <v>281.02</v>
      </c>
    </row>
    <row r="528" spans="2:10" s="67" customFormat="1" ht="14.25">
      <c r="B528" s="67" t="s">
        <v>624</v>
      </c>
      <c r="C528" s="67" t="s">
        <v>625</v>
      </c>
      <c r="D528" s="67" t="s">
        <v>505</v>
      </c>
      <c r="E528" s="67">
        <v>0.0005</v>
      </c>
      <c r="F528" s="68">
        <f>TRUNC(9.9,2)</f>
        <v>9.9</v>
      </c>
      <c r="G528" s="63">
        <f>TRUNC(E528*F528,2)</f>
        <v>0</v>
      </c>
      <c r="H528" s="63"/>
      <c r="I528" s="64"/>
      <c r="J528" s="97"/>
    </row>
    <row r="529" spans="2:10" s="67" customFormat="1" ht="14.25">
      <c r="B529" s="67" t="s">
        <v>626</v>
      </c>
      <c r="C529" s="67" t="s">
        <v>627</v>
      </c>
      <c r="D529" s="67" t="s">
        <v>5</v>
      </c>
      <c r="E529" s="67">
        <v>0.02</v>
      </c>
      <c r="F529" s="68">
        <f>TRUNC(0.49,2)</f>
        <v>0.49</v>
      </c>
      <c r="G529" s="63">
        <f>TRUNC(E529*F529,2)</f>
        <v>0</v>
      </c>
      <c r="H529" s="63"/>
      <c r="I529" s="64"/>
      <c r="J529" s="97"/>
    </row>
    <row r="530" spans="2:10" s="67" customFormat="1" ht="14.25">
      <c r="B530" s="67" t="s">
        <v>188</v>
      </c>
      <c r="C530" s="67" t="s">
        <v>189</v>
      </c>
      <c r="D530" s="67" t="s">
        <v>6</v>
      </c>
      <c r="E530" s="67">
        <v>0.03399</v>
      </c>
      <c r="F530" s="68">
        <f>TRUNC(15.09,2)</f>
        <v>15.09</v>
      </c>
      <c r="G530" s="63">
        <f>TRUNC(E530*F530,2)</f>
        <v>0.51</v>
      </c>
      <c r="H530" s="63"/>
      <c r="I530" s="64"/>
      <c r="J530" s="97"/>
    </row>
    <row r="531" spans="5:10" s="67" customFormat="1" ht="14.25">
      <c r="E531" s="67" t="s">
        <v>7</v>
      </c>
      <c r="F531" s="68"/>
      <c r="G531" s="63">
        <f>TRUNC(SUM(G528:G530),2)</f>
        <v>0.51</v>
      </c>
      <c r="H531" s="63"/>
      <c r="I531" s="64"/>
      <c r="J531" s="97"/>
    </row>
    <row r="532" spans="1:10" s="44" customFormat="1" ht="15.75">
      <c r="A532" s="53" t="s">
        <v>53</v>
      </c>
      <c r="B532" s="55"/>
      <c r="C532" s="54"/>
      <c r="D532" s="55"/>
      <c r="E532" s="55"/>
      <c r="F532" s="55" t="s">
        <v>62</v>
      </c>
      <c r="G532" s="55"/>
      <c r="H532" s="57">
        <f>H527+H524+H520+H513+H502</f>
        <v>26303.53</v>
      </c>
      <c r="I532" s="57">
        <f>I527+I524+I520+I513+I502</f>
        <v>32445.47</v>
      </c>
      <c r="J532" s="96">
        <v>32729.93</v>
      </c>
    </row>
    <row r="533" spans="1:10" s="43" customFormat="1" ht="15.75">
      <c r="A533" s="43" t="s">
        <v>643</v>
      </c>
      <c r="B533" s="51"/>
      <c r="C533" s="52" t="s">
        <v>70</v>
      </c>
      <c r="D533" s="52"/>
      <c r="E533" s="52"/>
      <c r="F533" s="52"/>
      <c r="G533" s="52"/>
      <c r="H533" s="52"/>
      <c r="I533" s="50"/>
      <c r="J533" s="94"/>
    </row>
    <row r="534" spans="1:10" s="99" customFormat="1" ht="28.5">
      <c r="A534" s="99" t="s">
        <v>644</v>
      </c>
      <c r="B534" s="99" t="s">
        <v>875</v>
      </c>
      <c r="C534" s="99" t="s">
        <v>185</v>
      </c>
      <c r="D534" s="99" t="s">
        <v>48</v>
      </c>
      <c r="E534" s="99">
        <v>0.985</v>
      </c>
      <c r="F534" s="100">
        <f>TRUNC(G536,2)</f>
        <v>11.53</v>
      </c>
      <c r="G534" s="101">
        <f>TRUNC(F534*1.2338,2)</f>
        <v>14.22</v>
      </c>
      <c r="H534" s="101">
        <f>TRUNC(F534*E534,2)</f>
        <v>11.35</v>
      </c>
      <c r="I534" s="102">
        <f>TRUNC(E534*G534,2)</f>
        <v>14</v>
      </c>
      <c r="J534" s="114">
        <v>14.45</v>
      </c>
    </row>
    <row r="535" spans="2:10" s="67" customFormat="1" ht="42.75">
      <c r="B535" s="67" t="s">
        <v>876</v>
      </c>
      <c r="C535" s="67" t="s">
        <v>877</v>
      </c>
      <c r="D535" s="67" t="s">
        <v>52</v>
      </c>
      <c r="E535" s="67">
        <v>0.0843</v>
      </c>
      <c r="F535" s="68">
        <f>TRUNC(136.83,2)</f>
        <v>136.83</v>
      </c>
      <c r="G535" s="63">
        <f>TRUNC(E535*F535,2)</f>
        <v>11.53</v>
      </c>
      <c r="H535" s="63"/>
      <c r="I535" s="64"/>
      <c r="J535" s="97"/>
    </row>
    <row r="536" spans="5:10" s="67" customFormat="1" ht="14.25">
      <c r="E536" s="67" t="s">
        <v>7</v>
      </c>
      <c r="F536" s="68"/>
      <c r="G536" s="63">
        <f>TRUNC(SUM(G535:G535),2)</f>
        <v>11.53</v>
      </c>
      <c r="H536" s="63"/>
      <c r="I536" s="64"/>
      <c r="J536" s="97"/>
    </row>
    <row r="537" spans="1:10" s="99" customFormat="1" ht="14.25">
      <c r="A537" s="99" t="s">
        <v>645</v>
      </c>
      <c r="B537" s="99" t="s">
        <v>878</v>
      </c>
      <c r="C537" s="99" t="s">
        <v>186</v>
      </c>
      <c r="D537" s="99" t="s">
        <v>63</v>
      </c>
      <c r="E537" s="99">
        <v>5.91</v>
      </c>
      <c r="F537" s="100">
        <f>TRUNC(G539,2)</f>
        <v>0.61</v>
      </c>
      <c r="G537" s="101">
        <f>TRUNC(F537*1.2338,2)</f>
        <v>0.75</v>
      </c>
      <c r="H537" s="101">
        <f>TRUNC(F537*E537,2)</f>
        <v>3.6</v>
      </c>
      <c r="I537" s="102">
        <f>TRUNC(E537*G537,2)</f>
        <v>4.43</v>
      </c>
      <c r="J537" s="114">
        <v>4.55</v>
      </c>
    </row>
    <row r="538" spans="2:10" s="67" customFormat="1" ht="42.75">
      <c r="B538" s="67" t="s">
        <v>876</v>
      </c>
      <c r="C538" s="67" t="s">
        <v>877</v>
      </c>
      <c r="D538" s="67" t="s">
        <v>52</v>
      </c>
      <c r="E538" s="67">
        <v>0.0045</v>
      </c>
      <c r="F538" s="68">
        <f>TRUNC(136.83,2)</f>
        <v>136.83</v>
      </c>
      <c r="G538" s="63">
        <f>TRUNC(E538*F538,2)</f>
        <v>0.61</v>
      </c>
      <c r="H538" s="63"/>
      <c r="I538" s="64"/>
      <c r="J538" s="97"/>
    </row>
    <row r="539" spans="5:10" s="67" customFormat="1" ht="14.25">
      <c r="E539" s="67" t="s">
        <v>7</v>
      </c>
      <c r="F539" s="68"/>
      <c r="G539" s="63">
        <f>TRUNC(SUM(G538:G538),2)</f>
        <v>0.61</v>
      </c>
      <c r="H539" s="63"/>
      <c r="I539" s="64"/>
      <c r="J539" s="97"/>
    </row>
    <row r="540" spans="1:10" s="99" customFormat="1" ht="57">
      <c r="A540" s="99" t="s">
        <v>646</v>
      </c>
      <c r="B540" s="99" t="s">
        <v>440</v>
      </c>
      <c r="C540" s="99" t="s">
        <v>394</v>
      </c>
      <c r="D540" s="99" t="s">
        <v>12</v>
      </c>
      <c r="E540" s="99">
        <v>7</v>
      </c>
      <c r="F540" s="100">
        <f>TRUNC(G543,2)</f>
        <v>239.32</v>
      </c>
      <c r="G540" s="101">
        <f>TRUNC(F540*1.2338,2)</f>
        <v>295.27</v>
      </c>
      <c r="H540" s="101">
        <f>TRUNC(F540*E540,2)</f>
        <v>1675.24</v>
      </c>
      <c r="I540" s="102">
        <f>TRUNC(E540*G540,2)</f>
        <v>2066.89</v>
      </c>
      <c r="J540" s="114">
        <v>1853.7</v>
      </c>
    </row>
    <row r="541" spans="2:10" s="67" customFormat="1" ht="14.25">
      <c r="B541" s="67" t="s">
        <v>188</v>
      </c>
      <c r="C541" s="67" t="s">
        <v>189</v>
      </c>
      <c r="D541" s="67" t="s">
        <v>6</v>
      </c>
      <c r="E541" s="67">
        <v>0.618</v>
      </c>
      <c r="F541" s="68">
        <f>TRUNC(15.09,2)</f>
        <v>15.09</v>
      </c>
      <c r="G541" s="63">
        <f>TRUNC(E541*F541,2)</f>
        <v>9.32</v>
      </c>
      <c r="H541" s="63"/>
      <c r="I541" s="64"/>
      <c r="J541" s="97"/>
    </row>
    <row r="542" spans="2:10" s="67" customFormat="1" ht="28.5">
      <c r="B542" s="67" t="s">
        <v>395</v>
      </c>
      <c r="C542" s="67" t="s">
        <v>396</v>
      </c>
      <c r="D542" s="67" t="s">
        <v>12</v>
      </c>
      <c r="E542" s="67">
        <v>1</v>
      </c>
      <c r="F542" s="68">
        <f>TRUNC(230,2)</f>
        <v>230</v>
      </c>
      <c r="G542" s="63">
        <f>TRUNC(E542*F542,2)</f>
        <v>230</v>
      </c>
      <c r="H542" s="63"/>
      <c r="I542" s="64"/>
      <c r="J542" s="97"/>
    </row>
    <row r="543" spans="5:10" s="67" customFormat="1" ht="14.25">
      <c r="E543" s="67" t="s">
        <v>7</v>
      </c>
      <c r="F543" s="68"/>
      <c r="G543" s="63">
        <f>TRUNC(SUM(G541:G542),2)</f>
        <v>239.32</v>
      </c>
      <c r="H543" s="63"/>
      <c r="I543" s="64"/>
      <c r="J543" s="97"/>
    </row>
    <row r="544" spans="1:11" s="99" customFormat="1" ht="14.25">
      <c r="A544" s="99" t="s">
        <v>647</v>
      </c>
      <c r="B544" s="99" t="s">
        <v>879</v>
      </c>
      <c r="C544" s="99" t="s">
        <v>478</v>
      </c>
      <c r="D544" s="99" t="s">
        <v>1</v>
      </c>
      <c r="E544" s="99">
        <v>13.71</v>
      </c>
      <c r="F544" s="100">
        <f>TRUNC(G548,2)</f>
        <v>4.11</v>
      </c>
      <c r="G544" s="101">
        <f>TRUNC(F544*1.2338,2)</f>
        <v>5.07</v>
      </c>
      <c r="H544" s="101">
        <f>TRUNC(F544*E544,2)</f>
        <v>56.34</v>
      </c>
      <c r="I544" s="102">
        <f>TRUNC(E544*G544,2)</f>
        <v>69.5</v>
      </c>
      <c r="J544" s="114">
        <v>71.15</v>
      </c>
      <c r="K544" s="99">
        <v>13.71</v>
      </c>
    </row>
    <row r="545" spans="2:10" s="67" customFormat="1" ht="14.25">
      <c r="B545" s="67" t="s">
        <v>817</v>
      </c>
      <c r="C545" s="67" t="s">
        <v>127</v>
      </c>
      <c r="D545" s="67" t="s">
        <v>6</v>
      </c>
      <c r="E545" s="67">
        <v>0.018</v>
      </c>
      <c r="F545" s="68">
        <f>TRUNC(21.86,2)</f>
        <v>21.86</v>
      </c>
      <c r="G545" s="63">
        <f>TRUNC(E545*F545,2)</f>
        <v>0.39</v>
      </c>
      <c r="H545" s="63"/>
      <c r="I545" s="64"/>
      <c r="J545" s="97"/>
    </row>
    <row r="546" spans="2:10" s="67" customFormat="1" ht="28.5">
      <c r="B546" s="67" t="s">
        <v>880</v>
      </c>
      <c r="C546" s="67" t="s">
        <v>881</v>
      </c>
      <c r="D546" s="67" t="s">
        <v>52</v>
      </c>
      <c r="E546" s="67">
        <v>0.018</v>
      </c>
      <c r="F546" s="68">
        <f>TRUNC(141.75,2)</f>
        <v>141.75</v>
      </c>
      <c r="G546" s="63">
        <f>TRUNC(E546*F546,2)</f>
        <v>2.55</v>
      </c>
      <c r="H546" s="63"/>
      <c r="I546" s="64"/>
      <c r="J546" s="97"/>
    </row>
    <row r="547" spans="2:10" s="67" customFormat="1" ht="42.75">
      <c r="B547" s="67" t="s">
        <v>882</v>
      </c>
      <c r="C547" s="67" t="s">
        <v>883</v>
      </c>
      <c r="D547" s="67" t="s">
        <v>52</v>
      </c>
      <c r="E547" s="67">
        <v>0.007</v>
      </c>
      <c r="F547" s="68">
        <f>TRUNC(168.33,2)</f>
        <v>168.33</v>
      </c>
      <c r="G547" s="63">
        <f>TRUNC(E547*F547,2)</f>
        <v>1.17</v>
      </c>
      <c r="H547" s="63"/>
      <c r="I547" s="64"/>
      <c r="J547" s="97"/>
    </row>
    <row r="548" spans="5:10" s="67" customFormat="1" ht="14.25">
      <c r="E548" s="67" t="s">
        <v>7</v>
      </c>
      <c r="F548" s="68"/>
      <c r="G548" s="63">
        <f>TRUNC(SUM(G545:G547),2)</f>
        <v>4.11</v>
      </c>
      <c r="H548" s="63"/>
      <c r="I548" s="64"/>
      <c r="J548" s="97"/>
    </row>
    <row r="549" spans="1:10" s="99" customFormat="1" ht="29.25">
      <c r="A549" s="99" t="s">
        <v>648</v>
      </c>
      <c r="B549" s="99" t="s">
        <v>884</v>
      </c>
      <c r="C549" s="99" t="s">
        <v>929</v>
      </c>
      <c r="D549" s="99" t="s">
        <v>479</v>
      </c>
      <c r="E549" s="99">
        <v>149</v>
      </c>
      <c r="F549" s="100">
        <f>TRUNC(G552,2)</f>
        <v>1.61</v>
      </c>
      <c r="G549" s="101">
        <f>TRUNC(F549*1.2338,2)</f>
        <v>1.98</v>
      </c>
      <c r="H549" s="101">
        <f>TRUNC(F549*E549,2)</f>
        <v>239.89</v>
      </c>
      <c r="I549" s="102">
        <f>TRUNC(E549*G549,2)</f>
        <v>295.02</v>
      </c>
      <c r="J549" s="114">
        <v>305.45</v>
      </c>
    </row>
    <row r="550" spans="2:10" s="67" customFormat="1" ht="42.75">
      <c r="B550" s="67" t="s">
        <v>885</v>
      </c>
      <c r="C550" s="67" t="s">
        <v>886</v>
      </c>
      <c r="D550" s="67" t="s">
        <v>385</v>
      </c>
      <c r="E550" s="67">
        <v>0.0026</v>
      </c>
      <c r="F550" s="68">
        <f>TRUNC(38.53,2)</f>
        <v>38.53</v>
      </c>
      <c r="G550" s="63">
        <f>TRUNC(E550*F550,2)</f>
        <v>0.1</v>
      </c>
      <c r="H550" s="63"/>
      <c r="I550" s="64"/>
      <c r="J550" s="97"/>
    </row>
    <row r="551" spans="2:10" s="67" customFormat="1" ht="42.75">
      <c r="B551" s="67" t="s">
        <v>887</v>
      </c>
      <c r="C551" s="67" t="s">
        <v>888</v>
      </c>
      <c r="D551" s="67" t="s">
        <v>52</v>
      </c>
      <c r="E551" s="67">
        <v>0.01042</v>
      </c>
      <c r="F551" s="68">
        <f>TRUNC(145.45,2)</f>
        <v>145.45</v>
      </c>
      <c r="G551" s="63">
        <f>TRUNC(E551*F551,2)</f>
        <v>1.51</v>
      </c>
      <c r="H551" s="63"/>
      <c r="I551" s="64"/>
      <c r="J551" s="97"/>
    </row>
    <row r="552" spans="5:10" s="67" customFormat="1" ht="16.5" customHeight="1">
      <c r="E552" s="67" t="s">
        <v>7</v>
      </c>
      <c r="F552" s="68"/>
      <c r="G552" s="63">
        <f>TRUNC(SUM(G550:G551),2)</f>
        <v>1.61</v>
      </c>
      <c r="H552" s="63"/>
      <c r="I552" s="64"/>
      <c r="J552" s="97"/>
    </row>
    <row r="553" spans="1:10" s="99" customFormat="1" ht="28.5">
      <c r="A553" s="99" t="s">
        <v>913</v>
      </c>
      <c r="B553" s="99" t="s">
        <v>554</v>
      </c>
      <c r="C553" s="99" t="s">
        <v>555</v>
      </c>
      <c r="D553" s="99" t="s">
        <v>1</v>
      </c>
      <c r="E553" s="99">
        <v>0.6</v>
      </c>
      <c r="F553" s="100">
        <f>TRUNC(G555,2)</f>
        <v>17.87</v>
      </c>
      <c r="G553" s="101">
        <f>TRUNC(F553*1.2338,2)</f>
        <v>22.04</v>
      </c>
      <c r="H553" s="101">
        <f>TRUNC(F553*E553,2)</f>
        <v>10.72</v>
      </c>
      <c r="I553" s="102">
        <f>TRUNC(E553*G553,2)</f>
        <v>13.22</v>
      </c>
      <c r="J553" s="114"/>
    </row>
    <row r="554" spans="2:10" s="67" customFormat="1" ht="14.25">
      <c r="B554" s="67" t="s">
        <v>188</v>
      </c>
      <c r="C554" s="67" t="s">
        <v>189</v>
      </c>
      <c r="D554" s="67" t="s">
        <v>6</v>
      </c>
      <c r="E554" s="67">
        <v>1.1844999999999999</v>
      </c>
      <c r="F554" s="68">
        <f>TRUNC(15.09,2)</f>
        <v>15.09</v>
      </c>
      <c r="G554" s="63">
        <f>TRUNC(E554*F554,2)</f>
        <v>17.87</v>
      </c>
      <c r="H554" s="63"/>
      <c r="I554" s="64"/>
      <c r="J554" s="97"/>
    </row>
    <row r="555" spans="5:10" s="67" customFormat="1" ht="14.25">
      <c r="E555" s="67" t="s">
        <v>7</v>
      </c>
      <c r="F555" s="68"/>
      <c r="G555" s="63">
        <f>TRUNC(SUM(G554:G554),2)</f>
        <v>17.87</v>
      </c>
      <c r="H555" s="63"/>
      <c r="I555" s="64"/>
      <c r="J555" s="97"/>
    </row>
    <row r="556" spans="1:10" s="44" customFormat="1" ht="15.75">
      <c r="A556" s="53" t="s">
        <v>53</v>
      </c>
      <c r="B556" s="55"/>
      <c r="C556" s="54"/>
      <c r="D556" s="55"/>
      <c r="E556" s="55"/>
      <c r="F556" s="55" t="s">
        <v>649</v>
      </c>
      <c r="G556" s="55"/>
      <c r="H556" s="56">
        <f>H537+H534+H540+H544+H549+H553</f>
        <v>1997.14</v>
      </c>
      <c r="I556" s="56">
        <f>I537+I534+I540+I544+I549+I553</f>
        <v>2463.0599999999995</v>
      </c>
      <c r="J556" s="96">
        <v>2249.3</v>
      </c>
    </row>
    <row r="557" spans="1:10" s="44" customFormat="1" ht="15.75">
      <c r="A557" s="53" t="s">
        <v>53</v>
      </c>
      <c r="B557" s="55"/>
      <c r="C557" s="54"/>
      <c r="D557" s="55"/>
      <c r="E557" s="55"/>
      <c r="F557" s="55" t="s">
        <v>64</v>
      </c>
      <c r="G557" s="55"/>
      <c r="H557" s="57">
        <f>H500+H224+H209+H134+H267+H556+H374+H532</f>
        <v>123543.64999999998</v>
      </c>
      <c r="I557" s="57">
        <f>I500+I224+I209+I134+I267+I556+I374+I532</f>
        <v>152407.63</v>
      </c>
      <c r="J557" s="96">
        <v>149232.51</v>
      </c>
    </row>
    <row r="558" spans="1:10" s="44" customFormat="1" ht="15.75">
      <c r="A558" s="53"/>
      <c r="B558" s="55"/>
      <c r="C558" s="54"/>
      <c r="D558" s="55"/>
      <c r="E558" s="55"/>
      <c r="F558" s="55"/>
      <c r="G558" s="55"/>
      <c r="H558" s="56"/>
      <c r="I558" s="57"/>
      <c r="J558" s="96"/>
    </row>
    <row r="561" ht="15">
      <c r="C561"/>
    </row>
    <row r="562" ht="15">
      <c r="C562"/>
    </row>
    <row r="563" ht="15">
      <c r="C563"/>
    </row>
    <row r="564" ht="15">
      <c r="C564"/>
    </row>
  </sheetData>
  <sheetProtection/>
  <mergeCells count="13">
    <mergeCell ref="A9:G9"/>
    <mergeCell ref="A10:A11"/>
    <mergeCell ref="B10:B11"/>
    <mergeCell ref="C10:C11"/>
    <mergeCell ref="D10:D11"/>
    <mergeCell ref="E10:E11"/>
    <mergeCell ref="F10:I10"/>
    <mergeCell ref="D3:G3"/>
    <mergeCell ref="D4:G4"/>
    <mergeCell ref="D5:G5"/>
    <mergeCell ref="D6:G6"/>
    <mergeCell ref="D7:G7"/>
    <mergeCell ref="D8:G8"/>
  </mergeCells>
  <printOptions/>
  <pageMargins left="0.5118110236220472" right="0.5118110236220472" top="0.7874015748031497" bottom="0.7874015748031497" header="0.31496062992125984" footer="0.31496062992125984"/>
  <pageSetup horizontalDpi="300" verticalDpi="300" orientation="portrait" paperSize="9" scale="39" r:id="rId2"/>
  <headerFooter>
    <oddFooter>&amp;C&amp;A&amp;RPágina &amp;P de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6"/>
  <sheetViews>
    <sheetView showZeros="0" view="pageBreakPreview" zoomScale="40" zoomScaleNormal="70" zoomScaleSheetLayoutView="40" zoomScalePageLayoutView="0" workbookViewId="0" topLeftCell="A1">
      <selection activeCell="B21" sqref="B21"/>
    </sheetView>
  </sheetViews>
  <sheetFormatPr defaultColWidth="8.8515625" defaultRowHeight="15"/>
  <cols>
    <col min="1" max="1" width="12.7109375" style="40" bestFit="1" customWidth="1"/>
    <col min="2" max="2" width="78.28125" style="40" bestFit="1" customWidth="1"/>
    <col min="3" max="3" width="18.00390625" style="40" bestFit="1" customWidth="1"/>
    <col min="4" max="4" width="29.421875" style="40" customWidth="1"/>
    <col min="5" max="5" width="16.28125" style="40" bestFit="1" customWidth="1"/>
    <col min="6" max="6" width="28.421875" style="40" bestFit="1" customWidth="1"/>
    <col min="7" max="10" width="29.421875" style="40" customWidth="1"/>
    <col min="11" max="11" width="33.140625" style="40" customWidth="1"/>
    <col min="12" max="12" width="21.28125" style="23" bestFit="1" customWidth="1"/>
    <col min="13" max="13" width="19.140625" style="32" bestFit="1" customWidth="1"/>
    <col min="14" max="16384" width="8.8515625" style="23" customWidth="1"/>
  </cols>
  <sheetData>
    <row r="1" spans="1:12" ht="39.75" customHeight="1">
      <c r="A1" s="162" t="s">
        <v>26</v>
      </c>
      <c r="B1" s="163"/>
      <c r="C1" s="163"/>
      <c r="D1" s="163"/>
      <c r="E1" s="163"/>
      <c r="F1" s="163"/>
      <c r="G1" s="163"/>
      <c r="H1" s="163"/>
      <c r="I1" s="163"/>
      <c r="J1" s="163"/>
      <c r="K1" s="21"/>
      <c r="L1" s="22"/>
    </row>
    <row r="2" spans="1:12" ht="39.75" customHeight="1">
      <c r="A2" s="164" t="s">
        <v>27</v>
      </c>
      <c r="B2" s="165"/>
      <c r="C2" s="165"/>
      <c r="D2" s="165"/>
      <c r="E2" s="165"/>
      <c r="F2" s="165"/>
      <c r="G2" s="165"/>
      <c r="H2" s="165"/>
      <c r="I2" s="165"/>
      <c r="J2" s="165"/>
      <c r="K2" s="24"/>
      <c r="L2" s="22"/>
    </row>
    <row r="3" spans="1:12" ht="39.75" customHeight="1">
      <c r="A3" s="164" t="s">
        <v>101</v>
      </c>
      <c r="B3" s="165"/>
      <c r="C3" s="165"/>
      <c r="D3" s="165"/>
      <c r="E3" s="165"/>
      <c r="F3" s="165"/>
      <c r="G3" s="165"/>
      <c r="H3" s="165"/>
      <c r="I3" s="165"/>
      <c r="J3" s="165"/>
      <c r="K3" s="24"/>
      <c r="L3" s="22"/>
    </row>
    <row r="4" spans="1:12" ht="39.75" customHeight="1">
      <c r="A4" s="166" t="s">
        <v>652</v>
      </c>
      <c r="B4" s="167"/>
      <c r="C4" s="167"/>
      <c r="D4" s="167"/>
      <c r="E4" s="167"/>
      <c r="F4" s="167"/>
      <c r="G4" s="167"/>
      <c r="H4" s="167"/>
      <c r="I4" s="167"/>
      <c r="J4" s="167"/>
      <c r="K4" s="24"/>
      <c r="L4" s="22"/>
    </row>
    <row r="5" spans="1:12" ht="39.75" customHeight="1">
      <c r="A5" s="168" t="s">
        <v>543</v>
      </c>
      <c r="B5" s="169"/>
      <c r="C5" s="169"/>
      <c r="D5" s="169"/>
      <c r="E5" s="169"/>
      <c r="F5" s="169"/>
      <c r="G5" s="169"/>
      <c r="H5" s="169"/>
      <c r="I5" s="169"/>
      <c r="J5" s="169"/>
      <c r="K5" s="24"/>
      <c r="L5" s="22"/>
    </row>
    <row r="6" spans="1:12" ht="39.75" customHeight="1">
      <c r="A6" s="173"/>
      <c r="B6" s="174"/>
      <c r="C6" s="174"/>
      <c r="D6" s="174"/>
      <c r="E6" s="174"/>
      <c r="F6" s="174"/>
      <c r="G6" s="174"/>
      <c r="H6" s="174"/>
      <c r="I6" s="174"/>
      <c r="J6" s="174"/>
      <c r="K6" s="24"/>
      <c r="L6" s="22"/>
    </row>
    <row r="7" spans="1:12" ht="39.75" customHeight="1">
      <c r="A7" s="175" t="s">
        <v>797</v>
      </c>
      <c r="B7" s="176"/>
      <c r="C7" s="176"/>
      <c r="D7" s="176"/>
      <c r="E7" s="176"/>
      <c r="F7" s="176"/>
      <c r="G7" s="176"/>
      <c r="H7" s="176"/>
      <c r="I7" s="176"/>
      <c r="J7" s="176"/>
      <c r="K7" s="24"/>
      <c r="L7" s="22"/>
    </row>
    <row r="8" spans="1:12" ht="39.75" customHeight="1">
      <c r="A8" s="177"/>
      <c r="B8" s="178"/>
      <c r="C8" s="178"/>
      <c r="D8" s="178"/>
      <c r="E8" s="178"/>
      <c r="F8" s="178"/>
      <c r="G8" s="178"/>
      <c r="H8" s="178"/>
      <c r="I8" s="178"/>
      <c r="J8" s="178"/>
      <c r="K8" s="25"/>
      <c r="L8" s="22"/>
    </row>
    <row r="9" spans="1:12" ht="39.75" customHeight="1">
      <c r="A9" s="170" t="s">
        <v>34</v>
      </c>
      <c r="B9" s="171"/>
      <c r="C9" s="171"/>
      <c r="D9" s="171"/>
      <c r="E9" s="171"/>
      <c r="F9" s="171"/>
      <c r="G9" s="171"/>
      <c r="H9" s="171"/>
      <c r="I9" s="171"/>
      <c r="J9" s="171"/>
      <c r="K9" s="172"/>
      <c r="L9" s="22"/>
    </row>
    <row r="10" spans="1:14" ht="39.75" customHeight="1">
      <c r="A10" s="156" t="s">
        <v>30</v>
      </c>
      <c r="B10" s="156" t="s">
        <v>35</v>
      </c>
      <c r="C10" s="145" t="s">
        <v>36</v>
      </c>
      <c r="D10" s="159"/>
      <c r="E10" s="159"/>
      <c r="F10" s="159"/>
      <c r="G10" s="159"/>
      <c r="H10" s="159"/>
      <c r="I10" s="159"/>
      <c r="J10" s="159"/>
      <c r="K10" s="26"/>
      <c r="L10" s="22"/>
      <c r="M10" s="41"/>
      <c r="N10" s="27"/>
    </row>
    <row r="11" spans="1:14" ht="39.75" customHeight="1">
      <c r="A11" s="157"/>
      <c r="B11" s="157"/>
      <c r="C11" s="145" t="s">
        <v>37</v>
      </c>
      <c r="D11" s="146"/>
      <c r="E11" s="145" t="s">
        <v>38</v>
      </c>
      <c r="F11" s="146"/>
      <c r="G11" s="145" t="s">
        <v>498</v>
      </c>
      <c r="H11" s="146"/>
      <c r="I11" s="145" t="s">
        <v>651</v>
      </c>
      <c r="J11" s="146"/>
      <c r="K11" s="26" t="s">
        <v>39</v>
      </c>
      <c r="L11" s="22"/>
      <c r="M11" s="41"/>
      <c r="N11" s="27"/>
    </row>
    <row r="12" spans="1:12" ht="39.75" customHeight="1">
      <c r="A12" s="158"/>
      <c r="B12" s="158"/>
      <c r="C12" s="28" t="s">
        <v>40</v>
      </c>
      <c r="D12" s="29" t="s">
        <v>41</v>
      </c>
      <c r="E12" s="28" t="s">
        <v>40</v>
      </c>
      <c r="F12" s="29" t="s">
        <v>41</v>
      </c>
      <c r="G12" s="28" t="s">
        <v>40</v>
      </c>
      <c r="H12" s="29" t="s">
        <v>41</v>
      </c>
      <c r="I12" s="28" t="s">
        <v>40</v>
      </c>
      <c r="J12" s="29" t="s">
        <v>41</v>
      </c>
      <c r="K12" s="26" t="s">
        <v>42</v>
      </c>
      <c r="L12" s="22"/>
    </row>
    <row r="13" spans="1:12" ht="39.75" customHeight="1">
      <c r="A13" s="153"/>
      <c r="B13" s="153"/>
      <c r="C13" s="30"/>
      <c r="D13" s="30"/>
      <c r="E13" s="90"/>
      <c r="F13" s="30"/>
      <c r="G13" s="30"/>
      <c r="H13" s="30"/>
      <c r="I13" s="30"/>
      <c r="J13" s="30"/>
      <c r="K13" s="31"/>
      <c r="L13" s="32"/>
    </row>
    <row r="14" spans="1:13" ht="39.75" customHeight="1">
      <c r="A14" s="33" t="s">
        <v>18</v>
      </c>
      <c r="B14" s="34" t="s">
        <v>19</v>
      </c>
      <c r="C14" s="35">
        <v>0.8</v>
      </c>
      <c r="D14" s="69">
        <f aca="true" t="shared" si="0" ref="D14:D21">C14*K14</f>
        <v>24815.992</v>
      </c>
      <c r="E14" s="91">
        <v>0.2</v>
      </c>
      <c r="F14" s="69">
        <f aca="true" t="shared" si="1" ref="F14:F21">E14*K14</f>
        <v>6203.998</v>
      </c>
      <c r="G14" s="35"/>
      <c r="H14" s="69">
        <f aca="true" t="shared" si="2" ref="H14:H21">G14*K14</f>
        <v>0</v>
      </c>
      <c r="I14" s="35"/>
      <c r="J14" s="69">
        <f aca="true" t="shared" si="3" ref="J14:J20">I14*K14</f>
        <v>0</v>
      </c>
      <c r="K14" s="75">
        <v>31019.989999999998</v>
      </c>
      <c r="L14" s="36">
        <f aca="true" t="shared" si="4" ref="L14:L21">C14+E14+G14+I14</f>
        <v>1</v>
      </c>
      <c r="M14" s="42"/>
    </row>
    <row r="15" spans="1:13" ht="26.25">
      <c r="A15" s="33" t="s">
        <v>20</v>
      </c>
      <c r="B15" s="37" t="s">
        <v>51</v>
      </c>
      <c r="C15" s="35">
        <v>0.8</v>
      </c>
      <c r="D15" s="69">
        <f t="shared" si="0"/>
        <v>20514.36</v>
      </c>
      <c r="E15" s="91">
        <v>0.2</v>
      </c>
      <c r="F15" s="69">
        <f t="shared" si="1"/>
        <v>5128.59</v>
      </c>
      <c r="G15" s="35">
        <v>0</v>
      </c>
      <c r="H15" s="69">
        <f t="shared" si="2"/>
        <v>0</v>
      </c>
      <c r="I15" s="35"/>
      <c r="J15" s="69">
        <f t="shared" si="3"/>
        <v>0</v>
      </c>
      <c r="K15" s="75">
        <v>25642.95</v>
      </c>
      <c r="L15" s="36">
        <f t="shared" si="4"/>
        <v>1</v>
      </c>
      <c r="M15" s="42"/>
    </row>
    <row r="16" spans="1:13" ht="39.75" customHeight="1">
      <c r="A16" s="33" t="s">
        <v>21</v>
      </c>
      <c r="B16" s="34" t="s">
        <v>99</v>
      </c>
      <c r="C16" s="35"/>
      <c r="D16" s="69">
        <f t="shared" si="0"/>
        <v>0</v>
      </c>
      <c r="E16" s="91"/>
      <c r="F16" s="69">
        <f t="shared" si="1"/>
        <v>0</v>
      </c>
      <c r="G16" s="35">
        <v>0.7</v>
      </c>
      <c r="H16" s="69">
        <f t="shared" si="2"/>
        <v>19059.670000000002</v>
      </c>
      <c r="I16" s="35">
        <v>0.3</v>
      </c>
      <c r="J16" s="69">
        <f t="shared" si="3"/>
        <v>8168.43</v>
      </c>
      <c r="K16" s="75">
        <v>27228.100000000002</v>
      </c>
      <c r="L16" s="36">
        <f t="shared" si="4"/>
        <v>1</v>
      </c>
      <c r="M16" s="42"/>
    </row>
    <row r="17" spans="1:13" ht="39.75" customHeight="1">
      <c r="A17" s="33" t="s">
        <v>22</v>
      </c>
      <c r="B17" s="34" t="s">
        <v>25</v>
      </c>
      <c r="C17" s="35"/>
      <c r="D17" s="69">
        <f t="shared" si="0"/>
        <v>0</v>
      </c>
      <c r="E17" s="91"/>
      <c r="F17" s="69">
        <f t="shared" si="1"/>
        <v>0</v>
      </c>
      <c r="G17" s="35">
        <v>0.2</v>
      </c>
      <c r="H17" s="69">
        <f t="shared" si="2"/>
        <v>1474.1220000000003</v>
      </c>
      <c r="I17" s="35">
        <v>0.8</v>
      </c>
      <c r="J17" s="69">
        <f t="shared" si="3"/>
        <v>5896.488000000001</v>
      </c>
      <c r="K17" s="75">
        <v>7370.610000000001</v>
      </c>
      <c r="L17" s="36">
        <f t="shared" si="4"/>
        <v>1</v>
      </c>
      <c r="M17" s="42"/>
    </row>
    <row r="18" spans="1:13" ht="39.75" customHeight="1">
      <c r="A18" s="33" t="s">
        <v>23</v>
      </c>
      <c r="B18" s="34" t="s">
        <v>497</v>
      </c>
      <c r="C18" s="35">
        <v>0.2</v>
      </c>
      <c r="D18" s="69">
        <f t="shared" si="0"/>
        <v>1648.1480000000001</v>
      </c>
      <c r="E18" s="91"/>
      <c r="F18" s="69">
        <f t="shared" si="1"/>
        <v>0</v>
      </c>
      <c r="G18" s="35">
        <v>0.2</v>
      </c>
      <c r="H18" s="69">
        <f t="shared" si="2"/>
        <v>1648.1480000000001</v>
      </c>
      <c r="I18" s="35">
        <v>0.6</v>
      </c>
      <c r="J18" s="69">
        <f t="shared" si="3"/>
        <v>4944.4439999999995</v>
      </c>
      <c r="K18" s="75">
        <v>8240.74</v>
      </c>
      <c r="L18" s="36">
        <f t="shared" si="4"/>
        <v>1</v>
      </c>
      <c r="M18" s="42"/>
    </row>
    <row r="19" spans="1:13" ht="39.75" customHeight="1">
      <c r="A19" s="33" t="s">
        <v>24</v>
      </c>
      <c r="B19" s="34" t="s">
        <v>100</v>
      </c>
      <c r="C19" s="35"/>
      <c r="D19" s="69">
        <f t="shared" si="0"/>
        <v>0</v>
      </c>
      <c r="E19" s="91"/>
      <c r="F19" s="69">
        <f t="shared" si="1"/>
        <v>0</v>
      </c>
      <c r="G19" s="35"/>
      <c r="H19" s="69">
        <f t="shared" si="2"/>
        <v>0</v>
      </c>
      <c r="I19" s="35">
        <v>1</v>
      </c>
      <c r="J19" s="69">
        <f t="shared" si="3"/>
        <v>17111.33</v>
      </c>
      <c r="K19" s="75">
        <v>17111.33</v>
      </c>
      <c r="L19" s="36">
        <f t="shared" si="4"/>
        <v>1</v>
      </c>
      <c r="M19" s="42"/>
    </row>
    <row r="20" spans="1:13" ht="39.75" customHeight="1">
      <c r="A20" s="33" t="s">
        <v>309</v>
      </c>
      <c r="B20" s="34" t="s">
        <v>650</v>
      </c>
      <c r="C20" s="35">
        <v>0.3</v>
      </c>
      <c r="D20" s="69">
        <f t="shared" si="0"/>
        <v>9818.979</v>
      </c>
      <c r="E20" s="91">
        <v>0.3</v>
      </c>
      <c r="F20" s="69">
        <f t="shared" si="1"/>
        <v>9818.979</v>
      </c>
      <c r="G20" s="35">
        <v>0.3</v>
      </c>
      <c r="H20" s="69">
        <f t="shared" si="2"/>
        <v>9818.979</v>
      </c>
      <c r="I20" s="35">
        <v>0.1</v>
      </c>
      <c r="J20" s="69">
        <f t="shared" si="3"/>
        <v>3272.9930000000004</v>
      </c>
      <c r="K20" s="75">
        <v>32729.93</v>
      </c>
      <c r="L20" s="36">
        <f t="shared" si="4"/>
        <v>0.9999999999999999</v>
      </c>
      <c r="M20" s="42"/>
    </row>
    <row r="21" spans="1:13" ht="39.75" customHeight="1">
      <c r="A21" s="33" t="s">
        <v>643</v>
      </c>
      <c r="B21" s="34" t="s">
        <v>43</v>
      </c>
      <c r="C21" s="35">
        <v>0.15</v>
      </c>
      <c r="D21" s="69">
        <f t="shared" si="0"/>
        <v>385.8225</v>
      </c>
      <c r="E21" s="91">
        <v>0.45</v>
      </c>
      <c r="F21" s="69">
        <f t="shared" si="1"/>
        <v>1157.4675</v>
      </c>
      <c r="G21" s="35">
        <v>0.2</v>
      </c>
      <c r="H21" s="69">
        <f t="shared" si="2"/>
        <v>514.4300000000001</v>
      </c>
      <c r="I21" s="35">
        <v>0.2</v>
      </c>
      <c r="J21" s="69">
        <f>I21*K21</f>
        <v>514.4300000000001</v>
      </c>
      <c r="K21" s="75">
        <v>2572.15</v>
      </c>
      <c r="L21" s="36">
        <f t="shared" si="4"/>
        <v>1</v>
      </c>
      <c r="M21" s="42"/>
    </row>
    <row r="22" spans="1:12" ht="39.75" customHeight="1">
      <c r="A22" s="38"/>
      <c r="B22" s="39"/>
      <c r="C22" s="70"/>
      <c r="D22" s="70"/>
      <c r="E22" s="70"/>
      <c r="F22" s="70"/>
      <c r="G22" s="70"/>
      <c r="H22" s="70"/>
      <c r="I22" s="70"/>
      <c r="J22" s="70"/>
      <c r="K22" s="75">
        <f>SUM(K14:K21)</f>
        <v>151915.80000000002</v>
      </c>
      <c r="L22" s="36"/>
    </row>
    <row r="23" spans="1:12" ht="39.75" customHeight="1">
      <c r="A23" s="154" t="s">
        <v>44</v>
      </c>
      <c r="B23" s="155"/>
      <c r="C23" s="147">
        <f>SUM(D14:D21)</f>
        <v>57183.3015</v>
      </c>
      <c r="D23" s="148"/>
      <c r="E23" s="147">
        <f>SUM(F14:F21)</f>
        <v>22309.034499999998</v>
      </c>
      <c r="F23" s="148"/>
      <c r="G23" s="147">
        <f>SUM(H14:H21)</f>
        <v>32515.349000000002</v>
      </c>
      <c r="H23" s="148"/>
      <c r="I23" s="147">
        <f>SUM(J14:J21)</f>
        <v>39908.115000000005</v>
      </c>
      <c r="J23" s="148"/>
      <c r="K23" s="71"/>
      <c r="L23" s="32"/>
    </row>
    <row r="24" spans="1:12" ht="39.75" customHeight="1">
      <c r="A24" s="154" t="s">
        <v>45</v>
      </c>
      <c r="B24" s="155"/>
      <c r="C24" s="149">
        <f>C23</f>
        <v>57183.3015</v>
      </c>
      <c r="D24" s="150"/>
      <c r="E24" s="149">
        <f>E23+C24</f>
        <v>79492.336</v>
      </c>
      <c r="F24" s="150"/>
      <c r="G24" s="149">
        <f>G23+E24</f>
        <v>112007.685</v>
      </c>
      <c r="H24" s="150"/>
      <c r="I24" s="149">
        <f>I23+G24</f>
        <v>151915.8</v>
      </c>
      <c r="J24" s="150"/>
      <c r="K24" s="72"/>
      <c r="L24" s="32"/>
    </row>
    <row r="25" spans="1:12" ht="39.75" customHeight="1">
      <c r="A25" s="160" t="s">
        <v>46</v>
      </c>
      <c r="B25" s="161"/>
      <c r="C25" s="151">
        <f>C23/K22</f>
        <v>0.37641444471213653</v>
      </c>
      <c r="D25" s="152"/>
      <c r="E25" s="151">
        <f>E23/K22</f>
        <v>0.1468513117134623</v>
      </c>
      <c r="F25" s="152"/>
      <c r="G25" s="151">
        <f>G23/K22</f>
        <v>0.2140353340468865</v>
      </c>
      <c r="H25" s="152"/>
      <c r="I25" s="151">
        <f>I23/K22</f>
        <v>0.26269890952751457</v>
      </c>
      <c r="J25" s="152"/>
      <c r="K25" s="73"/>
      <c r="L25" s="32"/>
    </row>
    <row r="26" spans="1:12" ht="39.75" customHeight="1">
      <c r="A26" s="160" t="s">
        <v>47</v>
      </c>
      <c r="B26" s="161"/>
      <c r="C26" s="151">
        <f>C25</f>
        <v>0.37641444471213653</v>
      </c>
      <c r="D26" s="152"/>
      <c r="E26" s="151">
        <f>E25+C26</f>
        <v>0.5232657564255988</v>
      </c>
      <c r="F26" s="152"/>
      <c r="G26" s="151">
        <f>G25+E26</f>
        <v>0.7373010904724853</v>
      </c>
      <c r="H26" s="152"/>
      <c r="I26" s="151">
        <f>I25+G26</f>
        <v>0.9999999999999998</v>
      </c>
      <c r="J26" s="152"/>
      <c r="K26" s="74"/>
      <c r="L26" s="32"/>
    </row>
  </sheetData>
  <sheetProtection/>
  <mergeCells count="37">
    <mergeCell ref="G24:H24"/>
    <mergeCell ref="G25:H25"/>
    <mergeCell ref="G26:H26"/>
    <mergeCell ref="I23:J23"/>
    <mergeCell ref="I24:J24"/>
    <mergeCell ref="I25:J25"/>
    <mergeCell ref="I26:J26"/>
    <mergeCell ref="C24:D24"/>
    <mergeCell ref="A1:J1"/>
    <mergeCell ref="A2:J2"/>
    <mergeCell ref="A3:J3"/>
    <mergeCell ref="A4:J4"/>
    <mergeCell ref="A5:J5"/>
    <mergeCell ref="A9:K9"/>
    <mergeCell ref="A6:J6"/>
    <mergeCell ref="A7:J7"/>
    <mergeCell ref="A8:J8"/>
    <mergeCell ref="C10:J10"/>
    <mergeCell ref="C11:D11"/>
    <mergeCell ref="G11:H11"/>
    <mergeCell ref="I11:J11"/>
    <mergeCell ref="G23:H23"/>
    <mergeCell ref="A26:B26"/>
    <mergeCell ref="C26:D26"/>
    <mergeCell ref="A25:B25"/>
    <mergeCell ref="C25:D25"/>
    <mergeCell ref="A24:B24"/>
    <mergeCell ref="E11:F11"/>
    <mergeCell ref="E23:F23"/>
    <mergeCell ref="E24:F24"/>
    <mergeCell ref="E25:F25"/>
    <mergeCell ref="E26:F26"/>
    <mergeCell ref="A13:B13"/>
    <mergeCell ref="A23:B23"/>
    <mergeCell ref="C23:D23"/>
    <mergeCell ref="A10:A12"/>
    <mergeCell ref="B10:B12"/>
  </mergeCells>
  <printOptions horizontalCentered="1" verticalCentered="1"/>
  <pageMargins left="0.2362204724409449" right="0.2362204724409449" top="0.35433070866141736" bottom="0.35433070866141736" header="0.1968503937007874" footer="0.1968503937007874"/>
  <pageSetup fitToHeight="0" horizontalDpi="300" verticalDpi="300" orientation="landscape" paperSize="9" scale="43" r:id="rId2"/>
  <headerFooter>
    <oddFooter>&amp;C&amp;14&amp;A&amp;R&amp;14Página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Alfredo Antonio Nicolau Macedo Cunha</dc:creator>
  <cp:keywords/>
  <dc:description/>
  <cp:lastModifiedBy>Patrick Araujo Suckow de Barros</cp:lastModifiedBy>
  <cp:lastPrinted>2020-01-06T17:40:59Z</cp:lastPrinted>
  <dcterms:created xsi:type="dcterms:W3CDTF">2017-11-22T13:14:51Z</dcterms:created>
  <dcterms:modified xsi:type="dcterms:W3CDTF">2020-01-09T14:31:56Z</dcterms:modified>
  <cp:category/>
  <cp:version/>
  <cp:contentType/>
  <cp:contentStatus/>
</cp:coreProperties>
</file>